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05" yWindow="4500" windowWidth="13200" windowHeight="5190" tabRatio="803" activeTab="1"/>
  </bookViews>
  <sheets>
    <sheet name="Directions-Update log" sheetId="1" r:id="rId1"/>
    <sheet name="Input form" sheetId="2" r:id="rId2"/>
    <sheet name="Sheet1" sheetId="3" r:id="rId3"/>
    <sheet name="D2887 curve fit" sheetId="4" r:id="rId4"/>
    <sheet name="Carbon Blend Data" sheetId="5" r:id="rId5"/>
    <sheet name="Equiv ratio" sheetId="6" r:id="rId6"/>
    <sheet name="Antoine cffnts" sheetId="7" r:id="rId7"/>
    <sheet name="Fuel Distillation Curves" sheetId="8" r:id="rId8"/>
    <sheet name="Individual Fuel Blends" sheetId="9" r:id="rId9"/>
    <sheet name="Input-output" sheetId="10" r:id="rId10"/>
    <sheet name="data" sheetId="11" r:id="rId11"/>
    <sheet name="data1" sheetId="12" r:id="rId12"/>
  </sheets>
  <externalReferences>
    <externalReference r:id="rId15"/>
  </externalReferences>
  <definedNames>
    <definedName name="sencount" hidden="1">1</definedName>
    <definedName name="solver_adj" localSheetId="6" hidden="1">'Antoine cffnts'!$Z$3:$Z$4</definedName>
    <definedName name="solver_adj" localSheetId="3" hidden="1">'D2887 curve fit'!$D$3:$D$4</definedName>
    <definedName name="solver_adj" localSheetId="10" hidden="1">'data'!$J$6:$K$7</definedName>
    <definedName name="solver_adj" localSheetId="11" hidden="1">'data1'!$F$8:$G$9</definedName>
    <definedName name="solver_adj" localSheetId="9" hidden="1">'Input-output'!$Q$26:$Q$27</definedName>
    <definedName name="solver_adj" localSheetId="2" hidden="1">'Sheet1'!$AS$6:$AU$6</definedName>
    <definedName name="solver_cvg" localSheetId="6" hidden="1">0.001</definedName>
    <definedName name="solver_cvg" localSheetId="3" hidden="1">0.0001</definedName>
    <definedName name="solver_cvg" localSheetId="10" hidden="1">0.0001</definedName>
    <definedName name="solver_cvg" localSheetId="11" hidden="1">0.0001</definedName>
    <definedName name="solver_cvg" localSheetId="9" hidden="1">0.0001</definedName>
    <definedName name="solver_cvg" localSheetId="2" hidden="1">0.0001</definedName>
    <definedName name="solver_drv" localSheetId="6" hidden="1">1</definedName>
    <definedName name="solver_drv" localSheetId="3" hidden="1">1</definedName>
    <definedName name="solver_drv" localSheetId="10" hidden="1">1</definedName>
    <definedName name="solver_drv" localSheetId="11" hidden="1">1</definedName>
    <definedName name="solver_drv" localSheetId="9" hidden="1">1</definedName>
    <definedName name="solver_drv" localSheetId="2" hidden="1">1</definedName>
    <definedName name="solver_est" localSheetId="6" hidden="1">1</definedName>
    <definedName name="solver_est" localSheetId="3" hidden="1">1</definedName>
    <definedName name="solver_est" localSheetId="10" hidden="1">1</definedName>
    <definedName name="solver_est" localSheetId="11" hidden="1">1</definedName>
    <definedName name="solver_est" localSheetId="9" hidden="1">1</definedName>
    <definedName name="solver_est" localSheetId="2" hidden="1">1</definedName>
    <definedName name="solver_itr" localSheetId="6" hidden="1">100</definedName>
    <definedName name="solver_itr" localSheetId="3" hidden="1">100</definedName>
    <definedName name="solver_itr" localSheetId="10" hidden="1">100</definedName>
    <definedName name="solver_itr" localSheetId="11" hidden="1">100</definedName>
    <definedName name="solver_itr" localSheetId="9" hidden="1">100</definedName>
    <definedName name="solver_itr" localSheetId="2" hidden="1">100</definedName>
    <definedName name="solver_lhs1" localSheetId="3" hidden="1">'D2887 curve fit'!$E$46</definedName>
    <definedName name="solver_lhs1" localSheetId="10" hidden="1">'data'!$I$19</definedName>
    <definedName name="solver_lhs1" localSheetId="11" hidden="1">'data1'!$F$41</definedName>
    <definedName name="solver_lhs1" localSheetId="9" hidden="1">'Input-output'!$S$29</definedName>
    <definedName name="solver_lhs1" localSheetId="2" hidden="1">'Sheet1'!$AZ$16</definedName>
    <definedName name="solver_lhs2" localSheetId="9" hidden="1">'Input-output'!$S$28</definedName>
    <definedName name="solver_lhs2" localSheetId="2" hidden="1">'Sheet1'!$AZ$15</definedName>
    <definedName name="solver_lhs3" localSheetId="2" hidden="1">'Sheet1'!$AZ$15</definedName>
    <definedName name="solver_lhs4" localSheetId="2" hidden="1">'Sheet1'!$AZ$13</definedName>
    <definedName name="solver_lhs5" localSheetId="2" hidden="1">'Sheet1'!$AZ$12</definedName>
    <definedName name="solver_lin" localSheetId="6" hidden="1">2</definedName>
    <definedName name="solver_lin" localSheetId="3" hidden="1">2</definedName>
    <definedName name="solver_lin" localSheetId="10" hidden="1">2</definedName>
    <definedName name="solver_lin" localSheetId="11" hidden="1">2</definedName>
    <definedName name="solver_lin" localSheetId="9" hidden="1">2</definedName>
    <definedName name="solver_lin" localSheetId="2" hidden="1">2</definedName>
    <definedName name="solver_neg" localSheetId="6" hidden="1">2</definedName>
    <definedName name="solver_neg" localSheetId="3" hidden="1">2</definedName>
    <definedName name="solver_neg" localSheetId="10" hidden="1">2</definedName>
    <definedName name="solver_neg" localSheetId="11" hidden="1">2</definedName>
    <definedName name="solver_neg" localSheetId="9" hidden="1">2</definedName>
    <definedName name="solver_neg" localSheetId="2" hidden="1">2</definedName>
    <definedName name="solver_num" localSheetId="6" hidden="1">0</definedName>
    <definedName name="solver_num" localSheetId="3" hidden="1">1</definedName>
    <definedName name="solver_num" localSheetId="10" hidden="1">1</definedName>
    <definedName name="solver_num" localSheetId="11" hidden="1">1</definedName>
    <definedName name="solver_num" localSheetId="9" hidden="1">1</definedName>
    <definedName name="solver_num" localSheetId="2" hidden="1">5</definedName>
    <definedName name="solver_nwt" localSheetId="6" hidden="1">1</definedName>
    <definedName name="solver_nwt" localSheetId="3" hidden="1">1</definedName>
    <definedName name="solver_nwt" localSheetId="10" hidden="1">1</definedName>
    <definedName name="solver_nwt" localSheetId="11" hidden="1">1</definedName>
    <definedName name="solver_nwt" localSheetId="9" hidden="1">1</definedName>
    <definedName name="solver_nwt" localSheetId="2" hidden="1">1</definedName>
    <definedName name="solver_opt" localSheetId="6" hidden="1">'Antoine cffnts'!$Z$6</definedName>
    <definedName name="solver_opt" localSheetId="3" hidden="1">'D2887 curve fit'!$F$3</definedName>
    <definedName name="solver_opt" localSheetId="10" hidden="1">'data'!$J$9</definedName>
    <definedName name="solver_opt" localSheetId="11" hidden="1">'data1'!$F$10</definedName>
    <definedName name="solver_opt" localSheetId="9" hidden="1">'Input-output'!$Q$30</definedName>
    <definedName name="solver_opt" localSheetId="2" hidden="1">'Sheet1'!$AZ$8</definedName>
    <definedName name="solver_pre" localSheetId="6" hidden="1">0.000001</definedName>
    <definedName name="solver_pre" localSheetId="3" hidden="1">0.000001</definedName>
    <definedName name="solver_pre" localSheetId="10" hidden="1">0.001</definedName>
    <definedName name="solver_pre" localSheetId="11" hidden="1">0.001</definedName>
    <definedName name="solver_pre" localSheetId="9" hidden="1">0.001</definedName>
    <definedName name="solver_pre" localSheetId="2" hidden="1">0.001</definedName>
    <definedName name="solver_rel1" localSheetId="3" hidden="1">2</definedName>
    <definedName name="solver_rel1" localSheetId="10" hidden="1">2</definedName>
    <definedName name="solver_rel1" localSheetId="11" hidden="1">2</definedName>
    <definedName name="solver_rel1" localSheetId="9" hidden="1">2</definedName>
    <definedName name="solver_rel1" localSheetId="2" hidden="1">2</definedName>
    <definedName name="solver_rel2" localSheetId="9" hidden="1">2</definedName>
    <definedName name="solver_rel2" localSheetId="2" hidden="1">2</definedName>
    <definedName name="solver_rel3" localSheetId="2" hidden="1">2</definedName>
    <definedName name="solver_rel4" localSheetId="2" hidden="1">2</definedName>
    <definedName name="solver_rel5" localSheetId="2" hidden="1">2</definedName>
    <definedName name="solver_rhs1" localSheetId="3" hidden="1">0</definedName>
    <definedName name="solver_rhs1" localSheetId="10" hidden="1">0</definedName>
    <definedName name="solver_rhs1" localSheetId="11" hidden="1">0</definedName>
    <definedName name="solver_rhs1" localSheetId="9" hidden="1">0</definedName>
    <definedName name="solver_rhs1" localSheetId="2" hidden="1">0</definedName>
    <definedName name="solver_rhs2" localSheetId="9" hidden="1">0</definedName>
    <definedName name="solver_rhs2" localSheetId="2" hidden="1">0</definedName>
    <definedName name="solver_rhs3" localSheetId="2" hidden="1">0</definedName>
    <definedName name="solver_rhs4" localSheetId="2" hidden="1">0</definedName>
    <definedName name="solver_rhs5" localSheetId="2" hidden="1">0</definedName>
    <definedName name="solver_scl" localSheetId="6" hidden="1">2</definedName>
    <definedName name="solver_scl" localSheetId="3" hidden="1">2</definedName>
    <definedName name="solver_scl" localSheetId="10" hidden="1">2</definedName>
    <definedName name="solver_scl" localSheetId="11" hidden="1">2</definedName>
    <definedName name="solver_scl" localSheetId="9" hidden="1">2</definedName>
    <definedName name="solver_scl" localSheetId="2" hidden="1">2</definedName>
    <definedName name="solver_sho" localSheetId="6" hidden="1">2</definedName>
    <definedName name="solver_sho" localSheetId="3" hidden="1">2</definedName>
    <definedName name="solver_sho" localSheetId="10" hidden="1">2</definedName>
    <definedName name="solver_sho" localSheetId="11" hidden="1">2</definedName>
    <definedName name="solver_sho" localSheetId="9" hidden="1">2</definedName>
    <definedName name="solver_sho" localSheetId="2" hidden="1">2</definedName>
    <definedName name="solver_tim" localSheetId="6" hidden="1">100</definedName>
    <definedName name="solver_tim" localSheetId="3" hidden="1">100</definedName>
    <definedName name="solver_tim" localSheetId="10" hidden="1">100</definedName>
    <definedName name="solver_tim" localSheetId="11" hidden="1">100</definedName>
    <definedName name="solver_tim" localSheetId="9" hidden="1">100</definedName>
    <definedName name="solver_tim" localSheetId="2" hidden="1">100</definedName>
    <definedName name="solver_tol" localSheetId="6" hidden="1">0.05</definedName>
    <definedName name="solver_tol" localSheetId="3" hidden="1">0.05</definedName>
    <definedName name="solver_tol" localSheetId="10" hidden="1">0.05</definedName>
    <definedName name="solver_tol" localSheetId="11" hidden="1">0.05</definedName>
    <definedName name="solver_tol" localSheetId="9" hidden="1">0.05</definedName>
    <definedName name="solver_tol" localSheetId="2" hidden="1">0.05</definedName>
    <definedName name="solver_typ" localSheetId="6" hidden="1">2</definedName>
    <definedName name="solver_typ" localSheetId="3" hidden="1">2</definedName>
    <definedName name="solver_typ" localSheetId="10" hidden="1">2</definedName>
    <definedName name="solver_typ" localSheetId="11" hidden="1">2</definedName>
    <definedName name="solver_typ" localSheetId="9" hidden="1">2</definedName>
    <definedName name="solver_typ" localSheetId="2" hidden="1">2</definedName>
    <definedName name="solver_val" localSheetId="6" hidden="1">0</definedName>
    <definedName name="solver_val" localSheetId="3" hidden="1">0</definedName>
    <definedName name="solver_val" localSheetId="10" hidden="1">0</definedName>
    <definedName name="solver_val" localSheetId="11" hidden="1">0</definedName>
    <definedName name="solver_val" localSheetId="9" hidden="1">0</definedName>
    <definedName name="solver_val" localSheetId="2" hidden="1">0</definedName>
  </definedNames>
  <calcPr fullCalcOnLoad="1"/>
</workbook>
</file>

<file path=xl/comments2.xml><?xml version="1.0" encoding="utf-8"?>
<comments xmlns="http://schemas.openxmlformats.org/spreadsheetml/2006/main">
  <authors>
    <author>NM117NIT</author>
  </authors>
  <commentList>
    <comment ref="G32" authorId="0">
      <text>
        <r>
          <rPr>
            <b/>
            <sz val="8"/>
            <rFont val="Tahoma"/>
            <family val="0"/>
          </rPr>
          <t>NM117NIT:</t>
        </r>
        <r>
          <rPr>
            <sz val="8"/>
            <rFont val="Tahoma"/>
            <family val="0"/>
          </rPr>
          <t xml:space="preserve">
</t>
        </r>
        <r>
          <rPr>
            <sz val="12"/>
            <rFont val="Tahoma"/>
            <family val="2"/>
          </rPr>
          <t>This is the computed FAR for a stoichiometric mixture. This can be plugged into Cell J27 and the "find temp" button clicked to get the temperature at which the fuel vapor is stoichiometric.</t>
        </r>
      </text>
    </comment>
    <comment ref="H9" authorId="0">
      <text>
        <r>
          <rPr>
            <b/>
            <sz val="8"/>
            <rFont val="Tahoma"/>
            <family val="0"/>
          </rPr>
          <t>NM117NIT:</t>
        </r>
        <r>
          <rPr>
            <sz val="8"/>
            <rFont val="Tahoma"/>
            <family val="0"/>
          </rPr>
          <t xml:space="preserve">
</t>
        </r>
        <r>
          <rPr>
            <sz val="12"/>
            <rFont val="Tahoma"/>
            <family val="2"/>
          </rPr>
          <t xml:space="preserve">These values define the distillation curve for the fuel. Change the values to drive flash point up or down. The range of 1 sigma values for real fuels is from 40 to 90. </t>
        </r>
      </text>
    </comment>
    <comment ref="H14" authorId="0">
      <text>
        <r>
          <rPr>
            <b/>
            <sz val="8"/>
            <rFont val="Tahoma"/>
            <family val="0"/>
          </rPr>
          <t>NM117NIT:</t>
        </r>
        <r>
          <rPr>
            <sz val="8"/>
            <rFont val="Tahoma"/>
            <family val="0"/>
          </rPr>
          <t xml:space="preserve">
This should be 1.00 if there is no fuel mixing, and the program will use just the Private Brew" fuel. This is the normal way to run.</t>
        </r>
      </text>
    </comment>
    <comment ref="F19" authorId="0">
      <text>
        <r>
          <rPr>
            <b/>
            <sz val="8"/>
            <rFont val="Tahoma"/>
            <family val="0"/>
          </rPr>
          <t>NM117NIT:</t>
        </r>
        <r>
          <rPr>
            <sz val="8"/>
            <rFont val="Tahoma"/>
            <family val="0"/>
          </rPr>
          <t xml:space="preserve">
</t>
        </r>
        <r>
          <rPr>
            <sz val="12"/>
            <rFont val="Tahoma"/>
            <family val="2"/>
          </rPr>
          <t>Flammability limits as a function of altitude,  expressed as FAR by weight</t>
        </r>
      </text>
    </comment>
    <comment ref="F20" authorId="0">
      <text>
        <r>
          <rPr>
            <b/>
            <sz val="8"/>
            <rFont val="Tahoma"/>
            <family val="0"/>
          </rPr>
          <t>NM117NIT:</t>
        </r>
        <r>
          <rPr>
            <sz val="8"/>
            <rFont val="Tahoma"/>
            <family val="0"/>
          </rPr>
          <t xml:space="preserve">
</t>
        </r>
        <r>
          <rPr>
            <sz val="12"/>
            <rFont val="Tahoma"/>
            <family val="2"/>
          </rPr>
          <t>Computed FAR by weight for the conditions specified</t>
        </r>
      </text>
    </comment>
    <comment ref="F21" authorId="0">
      <text>
        <r>
          <rPr>
            <b/>
            <sz val="8"/>
            <rFont val="Tahoma"/>
            <family val="0"/>
          </rPr>
          <t>NM117NIT:</t>
        </r>
        <r>
          <rPr>
            <sz val="8"/>
            <rFont val="Tahoma"/>
            <family val="0"/>
          </rPr>
          <t xml:space="preserve">
</t>
        </r>
        <r>
          <rPr>
            <sz val="12"/>
            <rFont val="Tahoma"/>
            <family val="2"/>
          </rPr>
          <t>Vapor pressure of the evaporated fuel</t>
        </r>
      </text>
    </comment>
    <comment ref="F24" authorId="0">
      <text>
        <r>
          <rPr>
            <b/>
            <sz val="8"/>
            <rFont val="Tahoma"/>
            <family val="0"/>
          </rPr>
          <t>NM117NIT:</t>
        </r>
        <r>
          <rPr>
            <sz val="8"/>
            <rFont val="Tahoma"/>
            <family val="0"/>
          </rPr>
          <t xml:space="preserve">
</t>
        </r>
        <r>
          <rPr>
            <sz val="12"/>
            <rFont val="Tahoma"/>
            <family val="2"/>
          </rPr>
          <t>Expressing fuel load in the tankk in Kg/M^3, a full tank is going to be around 800.</t>
        </r>
      </text>
    </comment>
    <comment ref="F25" authorId="0">
      <text>
        <r>
          <rPr>
            <b/>
            <sz val="8"/>
            <rFont val="Tahoma"/>
            <family val="0"/>
          </rPr>
          <t>NM117NIT:</t>
        </r>
        <r>
          <rPr>
            <sz val="8"/>
            <rFont val="Tahoma"/>
            <family val="0"/>
          </rPr>
          <t xml:space="preserve">
</t>
        </r>
        <r>
          <rPr>
            <sz val="12"/>
            <rFont val="Tahoma"/>
            <family val="2"/>
          </rPr>
          <t>Fuel vapor expressed in parts per million by volume</t>
        </r>
      </text>
    </comment>
    <comment ref="F26" authorId="0">
      <text>
        <r>
          <rPr>
            <b/>
            <sz val="8"/>
            <rFont val="Tahoma"/>
            <family val="0"/>
          </rPr>
          <t>NM117NIT:</t>
        </r>
        <r>
          <rPr>
            <sz val="8"/>
            <rFont val="Tahoma"/>
            <family val="0"/>
          </rPr>
          <t xml:space="preserve">
</t>
        </r>
        <r>
          <rPr>
            <sz val="12"/>
            <rFont val="Tahoma"/>
            <family val="2"/>
          </rPr>
          <t>Ratio of the FAR computed to the stoichiometric FAR, both by weight.</t>
        </r>
      </text>
    </comment>
    <comment ref="F27" authorId="0">
      <text>
        <r>
          <rPr>
            <b/>
            <sz val="8"/>
            <rFont val="Tahoma"/>
            <family val="0"/>
          </rPr>
          <t>NM117NIT:</t>
        </r>
        <r>
          <rPr>
            <sz val="8"/>
            <rFont val="Tahoma"/>
            <family val="0"/>
          </rPr>
          <t xml:space="preserve">
</t>
        </r>
        <r>
          <rPr>
            <sz val="12"/>
            <rFont val="Tahoma"/>
            <family val="2"/>
          </rPr>
          <t>Ratio of Hydrogen to Carbon molecules in the vapor</t>
        </r>
      </text>
    </comment>
    <comment ref="F28" authorId="0">
      <text>
        <r>
          <rPr>
            <b/>
            <sz val="8"/>
            <rFont val="Tahoma"/>
            <family val="0"/>
          </rPr>
          <t>NM117NIT:</t>
        </r>
        <r>
          <rPr>
            <sz val="8"/>
            <rFont val="Tahoma"/>
            <family val="0"/>
          </rPr>
          <t xml:space="preserve">
</t>
        </r>
        <r>
          <rPr>
            <sz val="12"/>
            <rFont val="Tahoma"/>
            <family val="2"/>
          </rPr>
          <t>Conversion of the FAR to PPM of C3H8 for use in hydrocarbon analysers that are calibrated with C3H8.</t>
        </r>
      </text>
    </comment>
    <comment ref="F29" authorId="0">
      <text>
        <r>
          <rPr>
            <b/>
            <sz val="8"/>
            <rFont val="Tahoma"/>
            <family val="0"/>
          </rPr>
          <t>NM117NIT:</t>
        </r>
        <r>
          <rPr>
            <sz val="8"/>
            <rFont val="Tahoma"/>
            <family val="0"/>
          </rPr>
          <t xml:space="preserve">
</t>
        </r>
        <r>
          <rPr>
            <sz val="12"/>
            <rFont val="Tahoma"/>
            <family val="2"/>
          </rPr>
          <t xml:space="preserve">Vapor pressure of the fuel expressed in mbar </t>
        </r>
        <r>
          <rPr>
            <sz val="8"/>
            <rFont val="Tahoma"/>
            <family val="0"/>
          </rPr>
          <t xml:space="preserve">
</t>
        </r>
      </text>
    </comment>
    <comment ref="H27" authorId="0">
      <text>
        <r>
          <rPr>
            <b/>
            <sz val="8"/>
            <rFont val="Tahoma"/>
            <family val="0"/>
          </rPr>
          <t>NM117NIT:</t>
        </r>
        <r>
          <rPr>
            <sz val="8"/>
            <rFont val="Tahoma"/>
            <family val="0"/>
          </rPr>
          <t xml:space="preserve">
</t>
        </r>
        <r>
          <rPr>
            <sz val="12"/>
            <rFont val="Tahoma"/>
            <family val="2"/>
          </rPr>
          <t>Enter a target FAR here to let the program iterate to a solution that matches the target FAR</t>
        </r>
      </text>
    </comment>
    <comment ref="H28" authorId="0">
      <text>
        <r>
          <rPr>
            <b/>
            <sz val="8"/>
            <rFont val="Tahoma"/>
            <family val="0"/>
          </rPr>
          <t>NM117NIT:</t>
        </r>
        <r>
          <rPr>
            <sz val="8"/>
            <rFont val="Tahoma"/>
            <family val="0"/>
          </rPr>
          <t xml:space="preserve">
</t>
        </r>
        <r>
          <rPr>
            <sz val="12"/>
            <rFont val="Tahoma"/>
            <family val="2"/>
          </rPr>
          <t>click the "find temp" button to solve for a temperature that gives the target FAR for the fuel in use and the altitude and load conditions input in cells c20 and c21</t>
        </r>
      </text>
    </comment>
    <comment ref="H29" authorId="0">
      <text>
        <r>
          <rPr>
            <b/>
            <sz val="8"/>
            <rFont val="Tahoma"/>
            <family val="0"/>
          </rPr>
          <t>NM117NIT:</t>
        </r>
        <r>
          <rPr>
            <sz val="8"/>
            <rFont val="Tahoma"/>
            <family val="0"/>
          </rPr>
          <t xml:space="preserve">
</t>
        </r>
        <r>
          <rPr>
            <sz val="12"/>
            <rFont val="Tahoma"/>
            <family val="2"/>
          </rPr>
          <t>For the target FAR and the 1 sigma value in Cell H11, and the input temperature, altitude and fuel load, click the "find 50% temp" button to find the 50% temperature of a fuel that will match the input condition</t>
        </r>
      </text>
    </comment>
    <comment ref="H30" authorId="0">
      <text>
        <r>
          <rPr>
            <b/>
            <sz val="8"/>
            <rFont val="Tahoma"/>
            <family val="0"/>
          </rPr>
          <t>NM117NIT:</t>
        </r>
        <r>
          <rPr>
            <sz val="8"/>
            <rFont val="Tahoma"/>
            <family val="0"/>
          </rPr>
          <t xml:space="preserve">
</t>
        </r>
        <r>
          <rPr>
            <sz val="12"/>
            <rFont val="Tahoma"/>
            <family val="2"/>
          </rPr>
          <t xml:space="preserve">For the target FAR and the 50%  value in CellH11, plus the input temperature, altitude and fuel load, click the "find  one sigma" button to find the 1 sigma value of a fuel that will match the input conditions </t>
        </r>
      </text>
    </comment>
    <comment ref="K28" authorId="0">
      <text>
        <r>
          <rPr>
            <b/>
            <sz val="8"/>
            <rFont val="Tahoma"/>
            <family val="0"/>
          </rPr>
          <t>NM117NIT:</t>
        </r>
        <r>
          <rPr>
            <sz val="8"/>
            <rFont val="Tahoma"/>
            <family val="0"/>
          </rPr>
          <t xml:space="preserve">
</t>
        </r>
        <r>
          <rPr>
            <sz val="12"/>
            <rFont val="Tahoma"/>
            <family val="2"/>
          </rPr>
          <t>These cells allow the user to input a first guess at the correct solution. This aids the iteration process.</t>
        </r>
      </text>
    </comment>
  </commentList>
</comments>
</file>

<file path=xl/comments4.xml><?xml version="1.0" encoding="utf-8"?>
<comments xmlns="http://schemas.openxmlformats.org/spreadsheetml/2006/main">
  <authors>
    <author>NM117NIT</author>
  </authors>
  <commentList>
    <comment ref="F1" authorId="0">
      <text>
        <r>
          <rPr>
            <b/>
            <sz val="8"/>
            <rFont val="Tahoma"/>
            <family val="0"/>
          </rPr>
          <t>NM117NIT:</t>
        </r>
        <r>
          <rPr>
            <sz val="8"/>
            <rFont val="Tahoma"/>
            <family val="0"/>
          </rPr>
          <t xml:space="preserve">
</t>
        </r>
        <r>
          <rPr>
            <sz val="12"/>
            <rFont val="Tahoma"/>
            <family val="2"/>
          </rPr>
          <t>Curve fitting the D2887 data:
Enter the data from D2887 in column C.
Check if you have the Solver add-in loaded in excel. Go to Tools and click on solver. IF it's not there, click on Add-ons and select Solver from the add-on list. It should show up under Tools after that.
Open Solver, set the target cell to F3 (mouse click)
Set goal to minimium (mouse click)
Set changing Cells to D3 and D4. (highlight with mouse and click)
Run solver. 
The answer should be a good fit to the D2887 data.
The curve fit generates a Gaussian curve with the 50% value in Cell C3 and the +/- 1 sigma value in Cell C4.
To get the best fit to the fuel, move the two values to the "Private Brew" fuel on the "input form" sheet, Cells H11 and H12.
On the input form sheet, set altitude to zero, fuel load to 60% and target FAR (Cell J27) to 0.044. This is the Flash Point FAR.
Click the "Find Temp" button. The resultant FP temp will show in the temp cell, C19.
If this is not the measured FP, you can try varying the 50% value or the 1 sigma value to get a better fit.
To do this you enter the real FP in the temp cell, C19, the target FAR stays at 0.044, now click the find 50% temp button. The program will find a 50% temp to match the FP. You can do the same thing for the 1 sigma value, by resetting the 50% value to the original value from the curvefit, and change the 1 sigma value to get a good fit to FP. You can play with both values and compare to the D2887 curve to find the best fit that looks like the D2887 curve and gives the correct FP. Once you have that, you can play with temperature and altitude and fuel load to get FAR and PPM etc.</t>
        </r>
        <r>
          <rPr>
            <sz val="8"/>
            <rFont val="Tahoma"/>
            <family val="0"/>
          </rPr>
          <t xml:space="preserve">
</t>
        </r>
      </text>
    </comment>
    <comment ref="C5" authorId="0">
      <text>
        <r>
          <rPr>
            <b/>
            <sz val="8"/>
            <rFont val="Tahoma"/>
            <family val="0"/>
          </rPr>
          <t>NM117NIT:</t>
        </r>
        <r>
          <rPr>
            <sz val="8"/>
            <rFont val="Tahoma"/>
            <family val="0"/>
          </rPr>
          <t xml:space="preserve">
</t>
        </r>
        <r>
          <rPr>
            <sz val="12"/>
            <rFont val="Tahoma"/>
            <family val="2"/>
          </rPr>
          <t>Input the test data from the D2887 distillation test here.</t>
        </r>
      </text>
    </comment>
  </commentList>
</comments>
</file>

<file path=xl/sharedStrings.xml><?xml version="1.0" encoding="utf-8"?>
<sst xmlns="http://schemas.openxmlformats.org/spreadsheetml/2006/main" count="631" uniqueCount="385">
  <si>
    <t xml:space="preserve"> Cell F17 allows the user to turn off the Gaussian Distribution and manually enter a weight distribution for a fuel. This is useful when dealing with a lab blend of hydrocarbons. </t>
  </si>
  <si>
    <t xml:space="preserve">To Use: Enter the Fuel Properties and Tank conditions in yellow cells, </t>
  </si>
  <si>
    <t>%</t>
  </si>
  <si>
    <t>M^3</t>
  </si>
  <si>
    <t>psi</t>
  </si>
  <si>
    <t>kg/m^3</t>
  </si>
  <si>
    <t>Mass Loading</t>
  </si>
  <si>
    <t>psia</t>
  </si>
  <si>
    <t>vapor</t>
  </si>
  <si>
    <t>MW</t>
  </si>
  <si>
    <t>Temperature</t>
  </si>
  <si>
    <t>gms</t>
  </si>
  <si>
    <t>% in slice</t>
  </si>
  <si>
    <t>Pressure</t>
  </si>
  <si>
    <t>Tank size</t>
  </si>
  <si>
    <t>Fuel weight</t>
  </si>
  <si>
    <t>Deg F</t>
  </si>
  <si>
    <t>grams</t>
  </si>
  <si>
    <t>Kg/M^3</t>
  </si>
  <si>
    <t>wt in</t>
  </si>
  <si>
    <t>slice</t>
  </si>
  <si>
    <t>Check weight</t>
  </si>
  <si>
    <t>pressure</t>
  </si>
  <si>
    <t xml:space="preserve">Temp K </t>
  </si>
  <si>
    <t xml:space="preserve">Mol </t>
  </si>
  <si>
    <t>Fraction</t>
  </si>
  <si>
    <t>partial</t>
  </si>
  <si>
    <t>Vapor Press.</t>
  </si>
  <si>
    <t>Fuel</t>
  </si>
  <si>
    <t>Evaporated</t>
  </si>
  <si>
    <t>Density</t>
  </si>
  <si>
    <t>spec vol</t>
  </si>
  <si>
    <t>M^3/kg</t>
  </si>
  <si>
    <t>Ullage Volume</t>
  </si>
  <si>
    <t>Univ. Gas Constant</t>
  </si>
  <si>
    <t>psi*M^3/K</t>
  </si>
  <si>
    <t>Weight of Vapor</t>
  </si>
  <si>
    <t>Mol Weight of Vapor</t>
  </si>
  <si>
    <t>Weight of Air</t>
  </si>
  <si>
    <t>Fuel Air Ratio</t>
  </si>
  <si>
    <t>/slice</t>
  </si>
  <si>
    <t>Total Mols</t>
  </si>
  <si>
    <t>mol</t>
  </si>
  <si>
    <t>Initial</t>
  </si>
  <si>
    <t>Final</t>
  </si>
  <si>
    <t>wt</t>
  </si>
  <si>
    <t>evap.</t>
  </si>
  <si>
    <t>from slice</t>
  </si>
  <si>
    <t>error</t>
  </si>
  <si>
    <t>evaporated</t>
  </si>
  <si>
    <t>Fuel Weight</t>
  </si>
  <si>
    <t>KG</t>
  </si>
  <si>
    <t xml:space="preserve">Final </t>
  </si>
  <si>
    <t>Liquid</t>
  </si>
  <si>
    <t>weight</t>
  </si>
  <si>
    <t>Mol/slice</t>
  </si>
  <si>
    <t>final total</t>
  </si>
  <si>
    <t>mols</t>
  </si>
  <si>
    <t>estimate of</t>
  </si>
  <si>
    <t>Final Mols</t>
  </si>
  <si>
    <t>Input Conditions</t>
  </si>
  <si>
    <t>Results</t>
  </si>
  <si>
    <t>Warning</t>
  </si>
  <si>
    <t>ln(%evap)</t>
  </si>
  <si>
    <t>vapor phase</t>
  </si>
  <si>
    <t>g</t>
  </si>
  <si>
    <t>carbon #</t>
  </si>
  <si>
    <t>fraction</t>
  </si>
  <si>
    <t>total mols</t>
  </si>
  <si>
    <t>Carbon</t>
  </si>
  <si>
    <t>Hydrogen</t>
  </si>
  <si>
    <t>A</t>
  </si>
  <si>
    <t>B</t>
  </si>
  <si>
    <t>C</t>
  </si>
  <si>
    <t>deg F</t>
  </si>
  <si>
    <t>Deg K</t>
  </si>
  <si>
    <t>Log 10(P)</t>
  </si>
  <si>
    <t>P (bar)</t>
  </si>
  <si>
    <t>P(psi)</t>
  </si>
  <si>
    <t>Antoine's Coefficients</t>
  </si>
  <si>
    <t>NIST Chemical Data Web site.</t>
  </si>
  <si>
    <t>Carbon Content</t>
  </si>
  <si>
    <t>carbon</t>
  </si>
  <si>
    <t>vp total=</t>
  </si>
  <si>
    <t>Mol wt of Vapor</t>
  </si>
  <si>
    <t>This may occur at very low mass loadings ( below 0.05 kg/m^3)</t>
  </si>
  <si>
    <t>A flag gets set if this  happens</t>
  </si>
  <si>
    <t>% full</t>
  </si>
  <si>
    <t>JP-5</t>
  </si>
  <si>
    <t>% wt in</t>
  </si>
  <si>
    <t>distribution</t>
  </si>
  <si>
    <t>blend</t>
  </si>
  <si>
    <t>Std Dev</t>
  </si>
  <si>
    <t>Fuel Properties</t>
  </si>
  <si>
    <t>Typical Fuels (for Reference)</t>
  </si>
  <si>
    <t>Avgas</t>
  </si>
  <si>
    <t>bucket</t>
  </si>
  <si>
    <t>% of total</t>
  </si>
  <si>
    <t>If the temperature is too high, a flag is set</t>
  </si>
  <si>
    <t>Comments welcome by author, Ivor Thomas, ANM117N, ivor.thomas@faa.gov</t>
  </si>
  <si>
    <t>of total</t>
  </si>
  <si>
    <r>
      <t>Enter</t>
    </r>
    <r>
      <rPr>
        <b/>
        <sz val="12"/>
        <color indexed="14"/>
        <rFont val="Arial"/>
        <family val="2"/>
      </rPr>
      <t xml:space="preserve"> input data fields ( Fuel data and tank conditions)</t>
    </r>
    <r>
      <rPr>
        <b/>
        <sz val="12"/>
        <rFont val="Arial"/>
        <family val="2"/>
      </rPr>
      <t xml:space="preserve"> and run Contol Q Macro</t>
    </r>
  </si>
  <si>
    <t>JetA/JP 8</t>
  </si>
  <si>
    <t>Jet B/JP 4</t>
  </si>
  <si>
    <t>TS-1(Russian)</t>
  </si>
  <si>
    <t>% Evaporated</t>
  </si>
  <si>
    <t>=convergency check, should be very close to 1.000</t>
  </si>
  <si>
    <t>100% evaporation solution</t>
  </si>
  <si>
    <t>100% evaporation vapor pressure=</t>
  </si>
  <si>
    <t xml:space="preserve">The vapor pressure will be lower than this but asymtopic to this value as the % evaporated approaches 100% </t>
  </si>
  <si>
    <t>100% evaporation Fuel Air Ratio=</t>
  </si>
  <si>
    <t>Use100% values as a check at very low fuel volumes or if % evaporated is over 99.5%</t>
  </si>
  <si>
    <t>% evaporated</t>
  </si>
  <si>
    <t>altitude=</t>
  </si>
  <si>
    <t>ft       =</t>
  </si>
  <si>
    <t>delta=</t>
  </si>
  <si>
    <t>=</t>
  </si>
  <si>
    <t>ft</t>
  </si>
  <si>
    <t>delta</t>
  </si>
  <si>
    <t>Reference Conversions</t>
  </si>
  <si>
    <t>FAR</t>
  </si>
  <si>
    <t>Actual</t>
  </si>
  <si>
    <t>Blend mixture eg 2 parts avgas, 6 parts jet A etc</t>
  </si>
  <si>
    <t>Blend</t>
  </si>
  <si>
    <t>JP 4</t>
  </si>
  <si>
    <t>TS 1</t>
  </si>
  <si>
    <t>Jet A</t>
  </si>
  <si>
    <t>JP5</t>
  </si>
  <si>
    <t>% in Blend</t>
  </si>
  <si>
    <t>AVGAS</t>
  </si>
  <si>
    <t>TS1</t>
  </si>
  <si>
    <t>JP 5</t>
  </si>
  <si>
    <t>Private Brew</t>
  </si>
  <si>
    <t>Final Result</t>
  </si>
  <si>
    <t>Private</t>
  </si>
  <si>
    <t>Brew</t>
  </si>
  <si>
    <t>Resultant % ages</t>
  </si>
  <si>
    <t>CARBON</t>
  </si>
  <si>
    <t>The "Private Brew" lets you</t>
  </si>
  <si>
    <t>try different values for a fuel.</t>
  </si>
  <si>
    <t>hydrogen</t>
  </si>
  <si>
    <t>correction for</t>
  </si>
  <si>
    <t xml:space="preserve">% weight </t>
  </si>
  <si>
    <t>Vapor</t>
  </si>
  <si>
    <t>mbar</t>
  </si>
  <si>
    <t xml:space="preserve">Alternatively, to do a manual blend, enter yes in cell F17, </t>
  </si>
  <si>
    <t>Blender at cells BI1-BL25</t>
  </si>
  <si>
    <t>Manual Blender</t>
  </si>
  <si>
    <t>Parts in blend</t>
  </si>
  <si>
    <t>Resultant</t>
  </si>
  <si>
    <t>% by wt.</t>
  </si>
  <si>
    <t>Input desired</t>
  </si>
  <si>
    <t>Don’t Forget to run control q macro</t>
  </si>
  <si>
    <t>after inputting desired blend</t>
  </si>
  <si>
    <t>KG/M^3</t>
  </si>
  <si>
    <t>psi=</t>
  </si>
  <si>
    <t>mbar=</t>
  </si>
  <si>
    <t>Kg/M^3=</t>
  </si>
  <si>
    <t>Fuel Load</t>
  </si>
  <si>
    <t>% wt.=</t>
  </si>
  <si>
    <t>Deg C=</t>
  </si>
  <si>
    <t xml:space="preserve">Temperature </t>
  </si>
  <si>
    <t>Deg F=</t>
  </si>
  <si>
    <t>Deg C</t>
  </si>
  <si>
    <t>Boiling</t>
  </si>
  <si>
    <t>Point</t>
  </si>
  <si>
    <t>Curve fit</t>
  </si>
  <si>
    <t>1/Deg K</t>
  </si>
  <si>
    <t>Carbon #</t>
  </si>
  <si>
    <t>Break</t>
  </si>
  <si>
    <t>Point K</t>
  </si>
  <si>
    <t>Boiling Pt</t>
  </si>
  <si>
    <t>no</t>
  </si>
  <si>
    <t>mols air</t>
  </si>
  <si>
    <t>mols fuel</t>
  </si>
  <si>
    <t>ppm volume</t>
  </si>
  <si>
    <t>Fuel PPM volume</t>
  </si>
  <si>
    <t>Calculation of Stoichiometric FAR</t>
  </si>
  <si>
    <t>O2 needed</t>
  </si>
  <si>
    <t>Weight</t>
  </si>
  <si>
    <t>Oxygen</t>
  </si>
  <si>
    <t>Nitrogen</t>
  </si>
  <si>
    <t>Mol wt</t>
  </si>
  <si>
    <t>cn</t>
  </si>
  <si>
    <t>Carbon m</t>
  </si>
  <si>
    <t>Hydrogen n</t>
  </si>
  <si>
    <t>N2 present</t>
  </si>
  <si>
    <t>Total</t>
  </si>
  <si>
    <t>Fuel Vapor</t>
  </si>
  <si>
    <t>wt. (gms)</t>
  </si>
  <si>
    <t>Air</t>
  </si>
  <si>
    <t>wt. gms</t>
  </si>
  <si>
    <t>FAR=</t>
  </si>
  <si>
    <t>Equivalency Ratio=</t>
  </si>
  <si>
    <t>Stoichiometric</t>
  </si>
  <si>
    <t>The program is set to stop if vapor pressure is near 0.002 psi</t>
  </si>
  <si>
    <t>Equivalency ratio</t>
  </si>
  <si>
    <t>gms H</t>
  </si>
  <si>
    <t>gms C</t>
  </si>
  <si>
    <t>H/C ratio=</t>
  </si>
  <si>
    <t>H/C Ratio=</t>
  </si>
  <si>
    <t>50% point</t>
  </si>
  <si>
    <t>Distillation</t>
  </si>
  <si>
    <t>% age in fuel</t>
  </si>
  <si>
    <t>Individual</t>
  </si>
  <si>
    <t>%age in Fuel</t>
  </si>
  <si>
    <t>50%  temp (Deg F) D 2887</t>
  </si>
  <si>
    <t xml:space="preserve">% full. </t>
  </si>
  <si>
    <t>Model based on  ASTM D2887 Distillation curves</t>
  </si>
  <si>
    <t>1 Sigma from 50% (Deg F)</t>
  </si>
  <si>
    <t xml:space="preserve">Occasionally a point may be off because of a failure to converge, </t>
  </si>
  <si>
    <t>Predicted</t>
  </si>
  <si>
    <t>Measured</t>
  </si>
  <si>
    <t>TC Fuel data</t>
  </si>
  <si>
    <t>Gold</t>
  </si>
  <si>
    <t>play</t>
  </si>
  <si>
    <t>Altitude</t>
  </si>
  <si>
    <t>BP K</t>
  </si>
  <si>
    <t>BP F</t>
  </si>
  <si>
    <t>1/K</t>
  </si>
  <si>
    <t>Cn</t>
  </si>
  <si>
    <t>fit K</t>
  </si>
  <si>
    <t>This spreadsheet is a model to predict fuel vapor pressure and hence Fuel Air Ratio (FAR) for a wide range of fuels and over a range of altitudes and temperatures and mass loadings.</t>
  </si>
  <si>
    <t xml:space="preserve">The model is based on two Physical laws, Rault's Law that states the vapor pressure of a compound mixed with other compounds is reduced by the mol fraction of the compound relative to the total mixture, and the universal ideal gas law PV=wtRT/Mol wt. </t>
  </si>
  <si>
    <t>The actual fuel characteristics were determined from the D2887 tests to be reasonably represented by a gaussian curve defined by a 50% temperature and a 1-sigma temperature to define the distillation curve about the 50% temperature.</t>
  </si>
  <si>
    <t>Operation of the Spreadsheet:</t>
  </si>
  <si>
    <t>Background to the Spreadsheet:</t>
  </si>
  <si>
    <t>Update Log :</t>
  </si>
  <si>
    <t>to solve for a given value of FAR,</t>
  </si>
  <si>
    <t>Enter FAR value</t>
  </si>
  <si>
    <t>First Guess</t>
  </si>
  <si>
    <t>Vapor Press-mbar</t>
  </si>
  <si>
    <t>Mol Fraction</t>
  </si>
  <si>
    <t>wt.</t>
  </si>
  <si>
    <t>Partial Presures</t>
  </si>
  <si>
    <t>Woodrow</t>
  </si>
  <si>
    <t>#344</t>
  </si>
  <si>
    <t xml:space="preserve">The second correction was to change the "cut" temperatures to better match the predicted vapor pressure to that of a number of test fuels analyzed for this purpose. </t>
  </si>
  <si>
    <t>This version has the "cut" temperatures adjusted to match the flash point of 11 test fuels using the assumption that the Flash point is a fixed FAR of 0.044.</t>
  </si>
  <si>
    <t>To find 50% distillation</t>
  </si>
  <si>
    <t>To Find 1 sigma value</t>
  </si>
  <si>
    <t>To FindTemp to give FAR</t>
  </si>
  <si>
    <r>
      <t xml:space="preserve">     </t>
    </r>
    <r>
      <rPr>
        <b/>
        <sz val="10"/>
        <rFont val="Arial"/>
        <family val="2"/>
      </rPr>
      <t xml:space="preserve"> Fuel Vapor Pressure Calculations:</t>
    </r>
  </si>
  <si>
    <t xml:space="preserve">The user enters a Desired FAR value on "Input form" Cell J27 and the tank pressure and fuel load in cells C20 and C21. </t>
  </si>
  <si>
    <r>
      <t>Similarly, if the user wants to find a 50% distillation temperature that gives a FAR value at a desired tank temperature, pressure and fuel load, the user enters tank data in cells C19,C20,C21 as usual, then the 1 sigma value in cell H12, a first guess for the 50% value in cell K29, and left clicks the button "</t>
    </r>
    <r>
      <rPr>
        <b/>
        <sz val="10"/>
        <rFont val="Arial"/>
        <family val="2"/>
      </rPr>
      <t>find 50%</t>
    </r>
    <r>
      <rPr>
        <sz val="10"/>
        <rFont val="Arial"/>
        <family val="0"/>
      </rPr>
      <t>". the macro will iterate to a solution.</t>
    </r>
  </si>
  <si>
    <t>Solvers have been added to let the user iterate on the key fuel properties to solve for a desired FAR.</t>
  </si>
  <si>
    <r>
      <t xml:space="preserve">Similarly, if the user wants to find a 1 sigma value that gives a FAR value at a desired tank temperature, pressure and fuel load, the user enters tank data in cells C19,C20,C21 as usual, then the 50% distillation value in cell H11, a first guess for the one sigma value in cell K30, and left clicks the button </t>
    </r>
    <r>
      <rPr>
        <b/>
        <sz val="10"/>
        <rFont val="Arial"/>
        <family val="2"/>
      </rPr>
      <t>"find 1 sigma</t>
    </r>
    <r>
      <rPr>
        <sz val="10"/>
        <rFont val="Arial"/>
        <family val="0"/>
      </rPr>
      <t>". the macro will iterate to a solution.</t>
    </r>
  </si>
  <si>
    <t>The model is no substitute for Engineering Common Sense</t>
  </si>
  <si>
    <r>
      <t>Cautions and Observations:</t>
    </r>
    <r>
      <rPr>
        <sz val="10"/>
        <color indexed="10"/>
        <rFont val="Arial"/>
        <family val="2"/>
      </rPr>
      <t xml:space="preserve">   The model uses a Curve fit through the distillation data to give an approximation of the FAR. A small amount of light ends can produce a major shift in FAR. For instance a 0.5% addition of Avgas can lower the Flash Point by 10 Deg F or more. If possible obtain the D2887 data </t>
    </r>
    <r>
      <rPr>
        <u val="single"/>
        <sz val="10"/>
        <color indexed="10"/>
        <rFont val="Arial"/>
        <family val="2"/>
      </rPr>
      <t>and</t>
    </r>
    <r>
      <rPr>
        <sz val="10"/>
        <color indexed="10"/>
        <rFont val="Arial"/>
        <family val="2"/>
      </rPr>
      <t xml:space="preserve"> the Flash Point of the fuel. You can then use both data sets to make minor corrections in the Gaussian curve fit to approximate the FP, either by moving the 50% point up or down, changing the 1 sigma value or even adding a small amount of light ends if the data suggests that would be appropriate.</t>
    </r>
  </si>
  <si>
    <t>The weight of compounds in each bucket was determined by using the ASTM D2887 distillation curve, and by "cutting" the distillation curve into sections, the weight of compounds in each bucket could be assigned. In reality the compounds in any one bucket are not all alcanes, and two corrections were introduced. The first was to decrease the hydrogen content of the compounds in any one bucket by an increasing value as the Carbon number increased. Thus the light compounds were assumed to be near CnH2n+2, the heavier groups were changes from CnH2+2, to CnH2n+c, where c was a correction factor and reduced the H value to less than 2 at the heavier buckets. This gave more realistic groupings and matched the Carbon-Hydrogen ratios reported for jet fuels.</t>
  </si>
  <si>
    <t>Since jet fuel comprises of several hundred compounds, a way of simplifying the analysis was needed. In the case of this model, it was decided to cut the fuel into a number of "buckets", using the Alcane boiling points as a guide, where all the compounds with a constant carbon number were placed in the same bucket. E.g., all the compounds with a C7 carbon number were assigned to the C7 bucket.  This simplified the model down to dealing with 19 buckets rather than several hundred buckets.</t>
  </si>
  <si>
    <r>
      <t>If the user wants to find the temperature that give that FAR, enter a first guess in Cell  K28, and left click the button "</t>
    </r>
    <r>
      <rPr>
        <b/>
        <sz val="10"/>
        <rFont val="Arial"/>
        <family val="2"/>
      </rPr>
      <t>Find temp</t>
    </r>
    <r>
      <rPr>
        <sz val="10"/>
        <rFont val="Arial"/>
        <family val="0"/>
      </rPr>
      <t>". The macro will run several times to iterate to a solution.</t>
    </r>
  </si>
  <si>
    <t>First Rule:  Save the original and play with a second copy.</t>
  </si>
  <si>
    <t xml:space="preserve">The program calculates the partial vapor pressure of each bucket by using the mol fraction of the liquid fuel in each bucket. Since the amount of fuel evaporated changes the mol fraction of the fuel that, in turn, changes the partial vapor pressure, an iteration process is used to calculate partial vapor pressure. Initially the partial vapor pressure is computed together with the weight of fuel needed to be evaporated to create that vapor pressure. The vapor pressure is then recomputed to allow for the mol fraction changes caused by the evaporation. This is repeated for each "bucket" and for the total fuel quantity to reach a stable set of values where the partial vapor pressures of each bucket is in balance with the amount evaporated and the resultant mol fractions.  One the partial pressures are known, the sum will give the vapor pressure of the fuel. By knowing the weight and mol weight of each bucket, the mol weight of the vapor can be calculated. The weight of air is calculated from the partial pressure, volume and temperature of the air in the tank,  and from this the FAR is calculated. </t>
  </si>
  <si>
    <t>Carbon blends, ie the weight in each bucket, both liquid and vapor, are plotted on the "Carbon Blend Data" sheet, and the distillation curves for the "Standard" fuels are on the "Fuel Distillation Curves" sheet.</t>
  </si>
  <si>
    <t>Altitude=</t>
  </si>
  <si>
    <t>ft.</t>
  </si>
  <si>
    <t>Temp (F)</t>
  </si>
  <si>
    <t>Corrected solving routine to allow entry of 0 Deg F as a guess :July 5th 2000</t>
  </si>
  <si>
    <t xml:space="preserve">Run Model by pressing "Run Model" Button </t>
  </si>
  <si>
    <t>Relative Humidity</t>
  </si>
  <si>
    <t>Antione Coefficients H20</t>
  </si>
  <si>
    <t>Water Partial Press.</t>
  </si>
  <si>
    <t>Correct for RH</t>
  </si>
  <si>
    <t>Air Pressure(Corr RH)</t>
  </si>
  <si>
    <t>Added Water vapor to the model as a Relativer Humidity Input July 6th 2000</t>
  </si>
  <si>
    <t>Solvers for Private Brew ONLY</t>
  </si>
  <si>
    <t>Solvers for use with the "Private Brew" Fuel</t>
  </si>
  <si>
    <t>Added error message to catch attempts to use FAR solvers without having any Private Brew fuel selected. July 11th 2000</t>
  </si>
  <si>
    <t>Water vapor-psi</t>
  </si>
  <si>
    <t>Corrected a minor error in the Relative Humidity Antoine Coefficients  Water now boils at 212 F not 211.83 F. July12th 2000</t>
  </si>
  <si>
    <t>Results are invalid without running model after making changes</t>
  </si>
  <si>
    <t>Flammability Limits</t>
  </si>
  <si>
    <t>LFL</t>
  </si>
  <si>
    <t>UFL</t>
  </si>
  <si>
    <t xml:space="preserve">Dry bulb temp </t>
  </si>
  <si>
    <t>deg K</t>
  </si>
  <si>
    <t>Added LFL and UFL versus Altitude and tied "flammability " flag in cell H20 to the limits  July 21st 2000</t>
  </si>
  <si>
    <t>Added Dry bulb temp input to allow more flexiblity in water vapor calculations July 21st 2000</t>
  </si>
  <si>
    <t>LFL and UFL are based on 1955 WADC 55-418 report compared to later work by Shepherd (CIT/NTSB) and others.</t>
  </si>
  <si>
    <r>
      <t>Use the Zoom feature to be able to see down as far as Row 31 on the "input form" sheet to see the main part of the input /output. The "</t>
    </r>
    <r>
      <rPr>
        <b/>
        <sz val="10"/>
        <rFont val="Arial"/>
        <family val="2"/>
      </rPr>
      <t>Input form</t>
    </r>
    <r>
      <rPr>
        <sz val="10"/>
        <rFont val="Arial"/>
        <family val="0"/>
      </rPr>
      <t xml:space="preserve">" sheet has several input cells, colored Yellow. </t>
    </r>
    <r>
      <rPr>
        <b/>
        <u val="single"/>
        <sz val="10"/>
        <color indexed="10"/>
        <rFont val="Arial"/>
        <family val="2"/>
      </rPr>
      <t>Only Change The Yellow Cells</t>
    </r>
    <r>
      <rPr>
        <sz val="10"/>
        <rFont val="Arial"/>
        <family val="0"/>
      </rPr>
      <t xml:space="preserve">. Cells C19, 20 and 21 set the conditions in the tank. Cells C 23 and C24 allow the user to input relative humidity effects. Cells H11 and 12 allow the user to input an ASTM D2887 fuel distillation curve expressed as a 50% temperature and a 1-sigma value. Cells C11 through G12 are typical values for several fuels. Cells C14 through H14 allow the user to mix a blend of fuels by specifying the number of parts of each fuel to be used in the final blend, eg, 5 parts gas, 20 parts TS-1 and 150 parts JP8. The percentage values of each fuel is displayed in Cells C15 through H15. Setting the blend value to 1 for a given fuel  and the rest to 0, will give results for that fuel only. </t>
    </r>
  </si>
  <si>
    <t xml:space="preserve">(Setting all the fuels except "Private Brew" to 0 and "Private Brew" to 1 allows changing the Private Brew to change fuel properties. This is the normal operational mod).  Several conversion factors are listed in rows 40 to 46, to convert from C to F, and Altitude to psia etc. Note: The iteration process runs a lot longer at low fuel quanties as the solver copes with trying to evaporate, but not quite, all the light ends. </t>
  </si>
  <si>
    <r>
      <t>To run the spreadsheet the user left clicks on the button "</t>
    </r>
    <r>
      <rPr>
        <b/>
        <sz val="10"/>
        <rFont val="Arial"/>
        <family val="2"/>
      </rPr>
      <t>Run Model</t>
    </r>
    <r>
      <rPr>
        <sz val="10"/>
        <rFont val="Arial"/>
        <family val="0"/>
      </rPr>
      <t>". The results are displayed in the blue cells,G20 through G28. There are notes on running the "Solvers" in the update section below.</t>
    </r>
  </si>
  <si>
    <t xml:space="preserve">This curve was used to assign a portion of the fuel to buckets according the cut temperatures, and the weight of fuel calculated for each bucket. The molecular weight of each cut could then be determined from the Carbon Hydrogen ratio. The true vapor pressure of each cut could be determined from the Antoine Coefficients. Use of a curve fit that best fits the lower 30% of the D2887 data gives the best results. </t>
  </si>
  <si>
    <t xml:space="preserve">Fuel Air Ratio Calculator, use at your own discretion and cross check with other sources. See "Directions-Update"sheet for more info. </t>
  </si>
  <si>
    <t>Dry bulb temp</t>
  </si>
  <si>
    <t>Constants for LFL and UFL Slopes</t>
  </si>
  <si>
    <t>Work is still in progress on this subject see FAA Tech Center website for any new info.</t>
  </si>
  <si>
    <t xml:space="preserve">The vapor pressure of a compound is typically a function of Absolute temperature, and can be expressed as lognVP=A+B/(Tk+C), where A, B and C are constants, known as the Antoine Coefficients.  These Coefficients can be found in reference books, such as Reid et al or downloaded from the web (http://webbook.nist.gov/chemistry/) or other sites. </t>
  </si>
  <si>
    <t>C3H8 ppm equiv.</t>
  </si>
  <si>
    <t>c=</t>
  </si>
  <si>
    <t>h</t>
  </si>
  <si>
    <t>% Dist.</t>
  </si>
  <si>
    <t>Mean=</t>
  </si>
  <si>
    <t>Sigma=</t>
  </si>
  <si>
    <t>D2887</t>
  </si>
  <si>
    <t>ASTM D2887 Distillation data for Tech Center Fuels</t>
  </si>
  <si>
    <t>Curvefit</t>
  </si>
  <si>
    <t>DegF</t>
  </si>
  <si>
    <t>TBD</t>
  </si>
  <si>
    <t>Curve fit to first 30% of D2887</t>
  </si>
  <si>
    <t>Stoichiometric FAR</t>
  </si>
  <si>
    <t>See Lines 40 through 46 for helpful conversions</t>
  </si>
  <si>
    <t>RSS</t>
  </si>
  <si>
    <t>Error</t>
  </si>
  <si>
    <t>Square of</t>
  </si>
  <si>
    <t>the error</t>
  </si>
  <si>
    <t>Added D2887 curvefit capability in the program. Go to the "D2887 curve fit" sheet and read remarks in cell F1 on how to do the curvefit.</t>
  </si>
  <si>
    <t xml:space="preserve">October 30th 2001, Added computation of ppm based on C3H8. Added a stoichiometric FAR computation to help find minimum ignition energy conditions. Also added several "remarks" notes to help the user. These show as a small red triangle in the top right corner of the cell. Moving the mouse to the cell brings up the remark. </t>
  </si>
  <si>
    <t>dew point</t>
  </si>
  <si>
    <t>temp</t>
  </si>
  <si>
    <t>150F</t>
  </si>
  <si>
    <t>120 F</t>
  </si>
  <si>
    <t>80F</t>
  </si>
  <si>
    <t>error^2</t>
  </si>
  <si>
    <t>BP</t>
  </si>
  <si>
    <t>kpa</t>
  </si>
  <si>
    <t>convert =</t>
  </si>
  <si>
    <t>kpa /psi</t>
  </si>
  <si>
    <t>deg k</t>
  </si>
  <si>
    <t>deg f</t>
  </si>
  <si>
    <t>model</t>
  </si>
  <si>
    <t>results</t>
  </si>
  <si>
    <t>Antoine</t>
  </si>
  <si>
    <t>RSS error</t>
  </si>
  <si>
    <t>Antoine Coefficients for Private Brew and Fuel Load</t>
  </si>
  <si>
    <t>F</t>
  </si>
  <si>
    <t>Antoine Coeffnts</t>
  </si>
  <si>
    <r>
      <t>Note:</t>
    </r>
    <r>
      <rPr>
        <sz val="10"/>
        <rFont val="Arial"/>
        <family val="0"/>
      </rPr>
      <t xml:space="preserve"> equation gives vapor pressure in bars</t>
    </r>
  </si>
  <si>
    <t>mid-range Temp=</t>
  </si>
  <si>
    <t>Nov 20th 2001 Version</t>
  </si>
  <si>
    <t>c3h8ppm</t>
  </si>
  <si>
    <t>1/k*1000</t>
  </si>
  <si>
    <t>log</t>
  </si>
  <si>
    <t>ppm</t>
  </si>
  <si>
    <t>If all else fails, try reading the user notes for more info</t>
  </si>
  <si>
    <t>Input  D86 data here</t>
  </si>
  <si>
    <t>Derived D2887 Curve</t>
  </si>
  <si>
    <t>Input Temperatures in Deg F</t>
  </si>
  <si>
    <t>Percent</t>
  </si>
  <si>
    <t>Left Click on the button box to solve</t>
  </si>
  <si>
    <t>Distilled</t>
  </si>
  <si>
    <t>D86 to D2887 Conversion</t>
  </si>
  <si>
    <t xml:space="preserve">Equation </t>
  </si>
  <si>
    <t>Coefficients</t>
  </si>
  <si>
    <t>Baseline values</t>
  </si>
  <si>
    <t>If the program fails to converge, put these numbers in column q and try again.</t>
  </si>
  <si>
    <t>D</t>
  </si>
  <si>
    <t>D2887 Curvefit Equations:</t>
  </si>
  <si>
    <r>
      <t>Caution:</t>
    </r>
    <r>
      <rPr>
        <sz val="10"/>
        <color indexed="10"/>
        <rFont val="Times New Roman"/>
        <family val="1"/>
      </rPr>
      <t xml:space="preserve"> the input data array needs to be filled. If you are missing values at the bottom or top end, estimate them, don't leave blanks.</t>
    </r>
  </si>
  <si>
    <t>D2887 curvefit</t>
  </si>
  <si>
    <t>lower</t>
  </si>
  <si>
    <t>upper</t>
  </si>
  <si>
    <t>1 sigma</t>
  </si>
  <si>
    <t>D2887 curve</t>
  </si>
  <si>
    <t>D86 dist %.</t>
  </si>
  <si>
    <t>temp F</t>
  </si>
  <si>
    <t>d2887 %</t>
  </si>
  <si>
    <t>curvefit</t>
  </si>
  <si>
    <t>Temp</t>
  </si>
  <si>
    <t>minimize=</t>
  </si>
  <si>
    <t>Input D2887 data here</t>
  </si>
  <si>
    <t>error=</t>
  </si>
  <si>
    <t xml:space="preserve"> %.</t>
  </si>
  <si>
    <t>D86 solution</t>
  </si>
  <si>
    <t>Original input</t>
  </si>
  <si>
    <t xml:space="preserve">ave </t>
  </si>
  <si>
    <t>all 30%</t>
  </si>
  <si>
    <t>all 70%</t>
  </si>
  <si>
    <t>Liquid Density changes</t>
  </si>
  <si>
    <t>Data from Fig 3 CRC report 530</t>
  </si>
  <si>
    <t>Temp (deg C)</t>
  </si>
  <si>
    <t>Slope</t>
  </si>
  <si>
    <t>Kg/m^3/degC</t>
  </si>
  <si>
    <t>JP4</t>
  </si>
  <si>
    <t>mean temp</t>
  </si>
  <si>
    <t>fuel temp</t>
  </si>
  <si>
    <t>deg C</t>
  </si>
  <si>
    <t>Temp Deg C</t>
  </si>
  <si>
    <t>Kg/M^3 at current temp</t>
  </si>
  <si>
    <t>Density=</t>
  </si>
  <si>
    <t>K/M^3</t>
  </si>
  <si>
    <t>kg/M^3@current temp</t>
  </si>
  <si>
    <t>lb/gal @Current temp</t>
  </si>
  <si>
    <t>Fuel Density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</si>
</sst>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
    <numFmt numFmtId="168" formatCode="0.0000000"/>
    <numFmt numFmtId="169" formatCode="0.00000000000000000"/>
    <numFmt numFmtId="170" formatCode="&quot;Yes&quot;;&quot;Yes&quot;;&quot;No&quot;"/>
    <numFmt numFmtId="171" formatCode="&quot;True&quot;;&quot;True&quot;;&quot;False&quot;"/>
    <numFmt numFmtId="172" formatCode="&quot;On&quot;;&quot;On&quot;;&quot;Off&quot;"/>
    <numFmt numFmtId="173" formatCode="0.000000"/>
    <numFmt numFmtId="174" formatCode="0.00000"/>
    <numFmt numFmtId="175" formatCode="0.00000000"/>
  </numFmts>
  <fonts count="69">
    <font>
      <sz val="10"/>
      <name val="Arial"/>
      <family val="0"/>
    </font>
    <font>
      <b/>
      <sz val="10"/>
      <color indexed="12"/>
      <name val="Arial"/>
      <family val="2"/>
    </font>
    <font>
      <b/>
      <sz val="10"/>
      <color indexed="14"/>
      <name val="Arial"/>
      <family val="2"/>
    </font>
    <font>
      <b/>
      <sz val="12"/>
      <name val="Arial"/>
      <family val="2"/>
    </font>
    <font>
      <b/>
      <sz val="10"/>
      <color indexed="62"/>
      <name val="Arial"/>
      <family val="2"/>
    </font>
    <font>
      <b/>
      <sz val="12"/>
      <color indexed="14"/>
      <name val="Arial"/>
      <family val="2"/>
    </font>
    <font>
      <b/>
      <sz val="12"/>
      <color indexed="10"/>
      <name val="Arial"/>
      <family val="2"/>
    </font>
    <font>
      <b/>
      <sz val="10"/>
      <color indexed="10"/>
      <name val="Arial"/>
      <family val="2"/>
    </font>
    <font>
      <b/>
      <sz val="10"/>
      <color indexed="20"/>
      <name val="Arial"/>
      <family val="2"/>
    </font>
    <font>
      <b/>
      <sz val="12"/>
      <color indexed="20"/>
      <name val="Arial"/>
      <family val="2"/>
    </font>
    <font>
      <sz val="12"/>
      <name val="Arial"/>
      <family val="2"/>
    </font>
    <font>
      <b/>
      <sz val="12"/>
      <color indexed="12"/>
      <name val="Arial"/>
      <family val="2"/>
    </font>
    <font>
      <b/>
      <sz val="9.25"/>
      <name val="Arial"/>
      <family val="0"/>
    </font>
    <font>
      <sz val="10"/>
      <color indexed="57"/>
      <name val="Arial"/>
      <family val="2"/>
    </font>
    <font>
      <sz val="10"/>
      <color indexed="10"/>
      <name val="Arial"/>
      <family val="2"/>
    </font>
    <font>
      <sz val="10"/>
      <color indexed="12"/>
      <name val="Arial"/>
      <family val="2"/>
    </font>
    <font>
      <sz val="10"/>
      <color indexed="58"/>
      <name val="Arial"/>
      <family val="2"/>
    </font>
    <font>
      <sz val="10"/>
      <color indexed="15"/>
      <name val="Arial"/>
      <family val="2"/>
    </font>
    <font>
      <sz val="10"/>
      <color indexed="53"/>
      <name val="Arial"/>
      <family val="2"/>
    </font>
    <font>
      <sz val="10"/>
      <color indexed="62"/>
      <name val="Arial"/>
      <family val="2"/>
    </font>
    <font>
      <b/>
      <sz val="10"/>
      <name val="Arial"/>
      <family val="2"/>
    </font>
    <font>
      <b/>
      <sz val="20"/>
      <name val="Arial"/>
      <family val="2"/>
    </font>
    <font>
      <b/>
      <sz val="16"/>
      <name val="Arial"/>
      <family val="2"/>
    </font>
    <font>
      <b/>
      <sz val="24"/>
      <name val="Arial"/>
      <family val="2"/>
    </font>
    <font>
      <b/>
      <sz val="26"/>
      <name val="Arial"/>
      <family val="2"/>
    </font>
    <font>
      <b/>
      <sz val="18"/>
      <name val="Arial"/>
      <family val="2"/>
    </font>
    <font>
      <i/>
      <sz val="16"/>
      <name val="Arial"/>
      <family val="2"/>
    </font>
    <font>
      <sz val="8.5"/>
      <name val="Arial"/>
      <family val="0"/>
    </font>
    <font>
      <sz val="10"/>
      <color indexed="20"/>
      <name val="Arial"/>
      <family val="2"/>
    </font>
    <font>
      <b/>
      <i/>
      <sz val="10"/>
      <color indexed="12"/>
      <name val="Arial"/>
      <family val="2"/>
    </font>
    <font>
      <b/>
      <sz val="11"/>
      <color indexed="62"/>
      <name val="Arial"/>
      <family val="2"/>
    </font>
    <font>
      <b/>
      <sz val="11"/>
      <name val="Arial"/>
      <family val="2"/>
    </font>
    <font>
      <b/>
      <u val="single"/>
      <sz val="10"/>
      <color indexed="10"/>
      <name val="Arial"/>
      <family val="2"/>
    </font>
    <font>
      <i/>
      <sz val="8"/>
      <name val="Arial"/>
      <family val="2"/>
    </font>
    <font>
      <sz val="8"/>
      <name val="Arial"/>
      <family val="2"/>
    </font>
    <font>
      <u val="single"/>
      <sz val="10"/>
      <color indexed="10"/>
      <name val="Arial"/>
      <family val="2"/>
    </font>
    <font>
      <b/>
      <sz val="11"/>
      <color indexed="14"/>
      <name val="Arial"/>
      <family val="2"/>
    </font>
    <font>
      <b/>
      <sz val="11"/>
      <color indexed="16"/>
      <name val="Arial"/>
      <family val="2"/>
    </font>
    <font>
      <b/>
      <sz val="11"/>
      <color indexed="12"/>
      <name val="Arial"/>
      <family val="2"/>
    </font>
    <font>
      <b/>
      <sz val="8"/>
      <name val="Arial"/>
      <family val="2"/>
    </font>
    <font>
      <sz val="5"/>
      <name val="Arial"/>
      <family val="0"/>
    </font>
    <font>
      <u val="single"/>
      <sz val="10"/>
      <color indexed="12"/>
      <name val="Arial"/>
      <family val="0"/>
    </font>
    <font>
      <u val="single"/>
      <sz val="10"/>
      <color indexed="36"/>
      <name val="Arial"/>
      <family val="0"/>
    </font>
    <font>
      <sz val="10"/>
      <name val="Helv"/>
      <family val="0"/>
    </font>
    <font>
      <b/>
      <sz val="10"/>
      <name val="Helv"/>
      <family val="0"/>
    </font>
    <font>
      <b/>
      <sz val="12"/>
      <name val="Helv"/>
      <family val="0"/>
    </font>
    <font>
      <sz val="8"/>
      <name val="Tahoma"/>
      <family val="0"/>
    </font>
    <font>
      <b/>
      <sz val="8"/>
      <name val="Tahoma"/>
      <family val="0"/>
    </font>
    <font>
      <sz val="12"/>
      <name val="Tahoma"/>
      <family val="2"/>
    </font>
    <font>
      <b/>
      <sz val="9.75"/>
      <name val="Arial"/>
      <family val="0"/>
    </font>
    <font>
      <sz val="9.75"/>
      <name val="Arial"/>
      <family val="0"/>
    </font>
    <font>
      <sz val="10"/>
      <name val="Times New Roman"/>
      <family val="0"/>
    </font>
    <font>
      <sz val="10"/>
      <color indexed="10"/>
      <name val="Times New Roman"/>
      <family val="1"/>
    </font>
    <font>
      <b/>
      <sz val="12"/>
      <color indexed="10"/>
      <name val="Times New Roman"/>
      <family val="1"/>
    </font>
    <font>
      <b/>
      <sz val="10"/>
      <name val="Times New Roman"/>
      <family val="1"/>
    </font>
    <font>
      <b/>
      <sz val="12"/>
      <name val="Times New Roman"/>
      <family val="1"/>
    </font>
    <font>
      <b/>
      <sz val="11"/>
      <color indexed="10"/>
      <name val="Times New Roman"/>
      <family val="1"/>
    </font>
    <font>
      <b/>
      <sz val="10"/>
      <color indexed="17"/>
      <name val="Times New Roman"/>
      <family val="1"/>
    </font>
    <font>
      <sz val="10"/>
      <name val="Courier"/>
      <family val="3"/>
    </font>
    <font>
      <b/>
      <sz val="10"/>
      <color indexed="12"/>
      <name val="Times New Roman"/>
      <family val="1"/>
    </font>
    <font>
      <b/>
      <sz val="10"/>
      <color indexed="20"/>
      <name val="Times New Roman"/>
      <family val="1"/>
    </font>
    <font>
      <sz val="10"/>
      <color indexed="20"/>
      <name val="Times New Roman"/>
      <family val="1"/>
    </font>
    <font>
      <sz val="9"/>
      <name val="Courier"/>
      <family val="3"/>
    </font>
    <font>
      <b/>
      <sz val="8"/>
      <name val="Times New Roman"/>
      <family val="0"/>
    </font>
    <font>
      <b/>
      <sz val="5"/>
      <name val="Times New Roman"/>
      <family val="0"/>
    </font>
    <font>
      <sz val="5"/>
      <name val="Times New Roman"/>
      <family val="0"/>
    </font>
    <font>
      <b/>
      <sz val="8.75"/>
      <name val="Times New Roman"/>
      <family val="0"/>
    </font>
    <font>
      <sz val="12"/>
      <name val="Times New Roman"/>
      <family val="0"/>
    </font>
    <font>
      <b/>
      <i/>
      <sz val="8"/>
      <color indexed="12"/>
      <name val="Arial"/>
      <family val="2"/>
    </font>
  </fonts>
  <fills count="9">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s>
  <borders count="3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style="thick">
        <color indexed="12"/>
      </top>
      <bottom>
        <color indexed="63"/>
      </bottom>
    </border>
    <border>
      <left style="medium"/>
      <right style="medium"/>
      <top style="medium"/>
      <bottom style="medium"/>
    </border>
    <border>
      <left style="thick">
        <color indexed="17"/>
      </left>
      <right style="thick">
        <color indexed="17"/>
      </right>
      <top>
        <color indexed="63"/>
      </top>
      <bottom style="thick">
        <color indexed="17"/>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ck">
        <color indexed="10"/>
      </left>
      <right>
        <color indexed="63"/>
      </right>
      <top>
        <color indexed="63"/>
      </top>
      <bottom>
        <color indexed="63"/>
      </bottom>
    </border>
    <border>
      <left style="thick">
        <color indexed="17"/>
      </left>
      <right style="thick">
        <color indexed="17"/>
      </right>
      <top style="thick">
        <color indexed="17"/>
      </top>
      <bottom style="thick">
        <color indexed="17"/>
      </bottom>
    </border>
    <border>
      <left>
        <color indexed="63"/>
      </left>
      <right>
        <color indexed="63"/>
      </right>
      <top style="medium"/>
      <bottom style="medium"/>
    </border>
    <border>
      <left>
        <color indexed="63"/>
      </left>
      <right style="medium"/>
      <top style="medium"/>
      <bottom style="medium"/>
    </border>
    <border>
      <left style="thick">
        <color indexed="12"/>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style="thick">
        <color indexed="12"/>
      </right>
      <top>
        <color indexed="63"/>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48"/>
      </left>
      <right style="medium">
        <color indexed="48"/>
      </right>
      <top style="medium">
        <color indexed="48"/>
      </top>
      <bottom style="medium">
        <color indexed="4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51" fillId="0" borderId="0">
      <alignment/>
      <protection/>
    </xf>
    <xf numFmtId="0" fontId="0" fillId="0" borderId="0">
      <alignment/>
      <protection/>
    </xf>
    <xf numFmtId="9" fontId="0" fillId="0" borderId="0" applyFont="0" applyFill="0" applyBorder="0" applyAlignment="0" applyProtection="0"/>
  </cellStyleXfs>
  <cellXfs count="275">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protection/>
    </xf>
    <xf numFmtId="0" fontId="1" fillId="0" borderId="0" xfId="0" applyFont="1" applyAlignment="1" applyProtection="1">
      <alignment/>
      <protection hidden="1"/>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1" xfId="0" applyBorder="1" applyAlignment="1">
      <alignment horizontal="right"/>
    </xf>
    <xf numFmtId="0" fontId="0" fillId="0" borderId="2" xfId="0" applyBorder="1" applyAlignment="1">
      <alignment horizontal="right"/>
    </xf>
    <xf numFmtId="1" fontId="0" fillId="0" borderId="0" xfId="0" applyNumberFormat="1" applyAlignment="1" applyProtection="1">
      <alignment/>
      <protection hidden="1"/>
    </xf>
    <xf numFmtId="1" fontId="0" fillId="0" borderId="0" xfId="0" applyNumberFormat="1" applyAlignment="1">
      <alignment/>
    </xf>
    <xf numFmtId="164" fontId="0" fillId="0" borderId="0" xfId="0" applyNumberFormat="1" applyAlignment="1">
      <alignment/>
    </xf>
    <xf numFmtId="0" fontId="7" fillId="0" borderId="0" xfId="0" applyFont="1" applyAlignment="1">
      <alignment/>
    </xf>
    <xf numFmtId="166" fontId="0" fillId="0" borderId="0" xfId="0" applyNumberForma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6" fillId="0" borderId="0" xfId="0" applyFont="1" applyAlignment="1">
      <alignment/>
    </xf>
    <xf numFmtId="0" fontId="13" fillId="0" borderId="0" xfId="0" applyFont="1" applyAlignment="1">
      <alignment/>
    </xf>
    <xf numFmtId="0" fontId="13" fillId="0" borderId="0" xfId="0" applyFont="1" applyAlignment="1" quotePrefix="1">
      <alignment/>
    </xf>
    <xf numFmtId="0" fontId="13" fillId="0" borderId="0" xfId="0" applyFont="1" applyAlignment="1" applyProtection="1">
      <alignment/>
      <protection hidden="1"/>
    </xf>
    <xf numFmtId="1" fontId="13" fillId="0" borderId="0" xfId="0" applyNumberFormat="1" applyFont="1" applyAlignment="1" applyProtection="1">
      <alignment/>
      <protection hidden="1"/>
    </xf>
    <xf numFmtId="1" fontId="13" fillId="0" borderId="0" xfId="0" applyNumberFormat="1" applyFont="1" applyAlignment="1">
      <alignment/>
    </xf>
    <xf numFmtId="0" fontId="14" fillId="0" borderId="0" xfId="0" applyFont="1" applyAlignment="1">
      <alignment/>
    </xf>
    <xf numFmtId="0" fontId="14" fillId="0" borderId="0" xfId="0" applyFont="1" applyAlignment="1" quotePrefix="1">
      <alignment/>
    </xf>
    <xf numFmtId="0" fontId="14" fillId="0" borderId="0" xfId="0" applyFont="1" applyAlignment="1" applyProtection="1">
      <alignment/>
      <protection hidden="1"/>
    </xf>
    <xf numFmtId="1" fontId="14" fillId="0" borderId="0" xfId="0" applyNumberFormat="1" applyFont="1" applyAlignment="1" applyProtection="1">
      <alignment/>
      <protection hidden="1"/>
    </xf>
    <xf numFmtId="1" fontId="14" fillId="0" borderId="0" xfId="0" applyNumberFormat="1" applyFont="1" applyAlignment="1">
      <alignment/>
    </xf>
    <xf numFmtId="0" fontId="15" fillId="0" borderId="0" xfId="0" applyFont="1" applyAlignment="1">
      <alignment/>
    </xf>
    <xf numFmtId="0" fontId="15" fillId="0" borderId="0" xfId="0" applyFont="1" applyAlignment="1" quotePrefix="1">
      <alignment/>
    </xf>
    <xf numFmtId="0" fontId="15" fillId="0" borderId="0" xfId="0" applyFont="1" applyAlignment="1" applyProtection="1">
      <alignment/>
      <protection hidden="1"/>
    </xf>
    <xf numFmtId="1" fontId="15" fillId="0" borderId="0" xfId="0" applyNumberFormat="1" applyFont="1" applyAlignment="1" applyProtection="1">
      <alignment/>
      <protection hidden="1"/>
    </xf>
    <xf numFmtId="1" fontId="15" fillId="0" borderId="0" xfId="0" applyNumberFormat="1" applyFont="1" applyAlignment="1">
      <alignment/>
    </xf>
    <xf numFmtId="0" fontId="16" fillId="0" borderId="0" xfId="0" applyFont="1" applyAlignment="1">
      <alignment/>
    </xf>
    <xf numFmtId="0" fontId="16" fillId="0" borderId="0" xfId="0" applyFont="1" applyAlignment="1" quotePrefix="1">
      <alignment/>
    </xf>
    <xf numFmtId="0" fontId="16" fillId="0" borderId="0" xfId="0" applyFont="1" applyAlignment="1" applyProtection="1">
      <alignment/>
      <protection hidden="1"/>
    </xf>
    <xf numFmtId="1" fontId="16" fillId="0" borderId="0" xfId="0" applyNumberFormat="1" applyFont="1" applyAlignment="1" applyProtection="1">
      <alignment/>
      <protection hidden="1"/>
    </xf>
    <xf numFmtId="1" fontId="16" fillId="0" borderId="0" xfId="0" applyNumberFormat="1"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quotePrefix="1">
      <alignment/>
    </xf>
    <xf numFmtId="0" fontId="18" fillId="0" borderId="0" xfId="0" applyFont="1" applyAlignment="1" applyProtection="1">
      <alignment/>
      <protection hidden="1"/>
    </xf>
    <xf numFmtId="1" fontId="18" fillId="0" borderId="0" xfId="0" applyNumberFormat="1" applyFont="1" applyAlignment="1" applyProtection="1">
      <alignment/>
      <protection hidden="1"/>
    </xf>
    <xf numFmtId="1" fontId="18" fillId="0" borderId="0" xfId="0" applyNumberFormat="1" applyFont="1" applyAlignment="1">
      <alignment/>
    </xf>
    <xf numFmtId="0" fontId="19" fillId="0" borderId="0" xfId="0" applyFont="1" applyAlignment="1">
      <alignment/>
    </xf>
    <xf numFmtId="0" fontId="19" fillId="0" borderId="0" xfId="0" applyFont="1" applyAlignment="1" quotePrefix="1">
      <alignment/>
    </xf>
    <xf numFmtId="0" fontId="19" fillId="0" borderId="0" xfId="0" applyFont="1" applyAlignment="1" applyProtection="1">
      <alignment/>
      <protection hidden="1"/>
    </xf>
    <xf numFmtId="1" fontId="19" fillId="0" borderId="0" xfId="0" applyNumberFormat="1" applyFont="1" applyAlignment="1" applyProtection="1">
      <alignment/>
      <protection hidden="1"/>
    </xf>
    <xf numFmtId="1" fontId="19" fillId="0" borderId="0" xfId="0" applyNumberFormat="1" applyFont="1" applyAlignment="1">
      <alignment/>
    </xf>
    <xf numFmtId="0" fontId="20" fillId="0" borderId="0" xfId="0" applyFont="1" applyAlignment="1">
      <alignment/>
    </xf>
    <xf numFmtId="166" fontId="19" fillId="0" borderId="0" xfId="0" applyNumberFormat="1" applyFont="1" applyAlignment="1">
      <alignment/>
    </xf>
    <xf numFmtId="0" fontId="28" fillId="0" borderId="0" xfId="0" applyFont="1" applyAlignment="1">
      <alignment/>
    </xf>
    <xf numFmtId="0" fontId="29" fillId="0" borderId="0" xfId="0" applyFont="1" applyAlignment="1">
      <alignment/>
    </xf>
    <xf numFmtId="0" fontId="4" fillId="0" borderId="0" xfId="0" applyFont="1" applyAlignment="1" quotePrefix="1">
      <alignment/>
    </xf>
    <xf numFmtId="0" fontId="30" fillId="0" borderId="0" xfId="0" applyFont="1" applyAlignment="1">
      <alignment/>
    </xf>
    <xf numFmtId="0" fontId="31" fillId="0" borderId="0" xfId="0" applyFont="1" applyAlignment="1">
      <alignment/>
    </xf>
    <xf numFmtId="0" fontId="0" fillId="0" borderId="0" xfId="22">
      <alignment/>
      <protection/>
    </xf>
    <xf numFmtId="0" fontId="0" fillId="0" borderId="0" xfId="22" applyFont="1">
      <alignment/>
      <protection/>
    </xf>
    <xf numFmtId="164" fontId="13" fillId="0" borderId="0" xfId="0" applyNumberFormat="1" applyFont="1" applyAlignment="1">
      <alignment/>
    </xf>
    <xf numFmtId="164" fontId="14" fillId="0" borderId="0" xfId="0" applyNumberFormat="1" applyFont="1" applyAlignment="1">
      <alignment/>
    </xf>
    <xf numFmtId="164" fontId="15" fillId="0" borderId="0" xfId="0" applyNumberFormat="1" applyFont="1" applyAlignment="1">
      <alignment/>
    </xf>
    <xf numFmtId="164" fontId="16" fillId="0" borderId="0" xfId="0" applyNumberFormat="1" applyFont="1" applyAlignment="1">
      <alignment/>
    </xf>
    <xf numFmtId="164" fontId="18" fillId="0" borderId="0" xfId="0" applyNumberFormat="1" applyFont="1" applyAlignment="1">
      <alignment/>
    </xf>
    <xf numFmtId="164" fontId="19" fillId="0" borderId="0" xfId="0" applyNumberFormat="1" applyFont="1" applyAlignment="1">
      <alignment/>
    </xf>
    <xf numFmtId="2" fontId="0" fillId="0" borderId="0" xfId="0" applyNumberFormat="1" applyAlignment="1">
      <alignment/>
    </xf>
    <xf numFmtId="0" fontId="20" fillId="0" borderId="0" xfId="0" applyFont="1" applyFill="1" applyBorder="1" applyAlignment="1">
      <alignment/>
    </xf>
    <xf numFmtId="0" fontId="0" fillId="2" borderId="3" xfId="0" applyFill="1" applyBorder="1" applyAlignment="1">
      <alignment/>
    </xf>
    <xf numFmtId="0" fontId="0" fillId="0" borderId="0" xfId="0" applyBorder="1" applyAlignment="1">
      <alignment/>
    </xf>
    <xf numFmtId="0" fontId="0" fillId="0" borderId="4" xfId="0" applyBorder="1" applyAlignment="1">
      <alignment/>
    </xf>
    <xf numFmtId="0" fontId="1" fillId="3" borderId="5" xfId="0" applyFont="1" applyFill="1" applyBorder="1" applyAlignment="1">
      <alignment/>
    </xf>
    <xf numFmtId="0" fontId="1" fillId="3" borderId="5" xfId="0" applyFont="1" applyFill="1" applyBorder="1" applyAlignment="1" applyProtection="1">
      <alignment/>
      <protection hidden="1"/>
    </xf>
    <xf numFmtId="0" fontId="0" fillId="0" borderId="0" xfId="0" applyNumberFormat="1" applyAlignment="1">
      <alignment/>
    </xf>
    <xf numFmtId="3" fontId="0" fillId="0" borderId="0" xfId="0" applyNumberFormat="1" applyAlignment="1">
      <alignment/>
    </xf>
    <xf numFmtId="4"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3" borderId="6" xfId="0" applyFont="1" applyFill="1" applyBorder="1" applyAlignment="1">
      <alignment/>
    </xf>
    <xf numFmtId="0" fontId="20" fillId="4" borderId="7" xfId="0" applyFont="1" applyFill="1" applyBorder="1" applyAlignment="1">
      <alignment/>
    </xf>
    <xf numFmtId="0" fontId="0" fillId="4" borderId="7" xfId="0" applyFill="1" applyBorder="1" applyAlignment="1">
      <alignment/>
    </xf>
    <xf numFmtId="0" fontId="6" fillId="5" borderId="8" xfId="0" applyFont="1" applyFill="1" applyBorder="1" applyAlignment="1">
      <alignment/>
    </xf>
    <xf numFmtId="0" fontId="20" fillId="4" borderId="9" xfId="0" applyFont="1" applyFill="1" applyBorder="1" applyAlignment="1">
      <alignment/>
    </xf>
    <xf numFmtId="0" fontId="20" fillId="2" borderId="10" xfId="0" applyFont="1" applyFill="1" applyBorder="1" applyAlignment="1">
      <alignment/>
    </xf>
    <xf numFmtId="0" fontId="20" fillId="2" borderId="11" xfId="0" applyFont="1" applyFill="1" applyBorder="1" applyAlignment="1">
      <alignment/>
    </xf>
    <xf numFmtId="11" fontId="0" fillId="0" borderId="0" xfId="0" applyNumberFormat="1" applyAlignment="1">
      <alignment/>
    </xf>
    <xf numFmtId="0" fontId="7" fillId="0" borderId="0" xfId="0" applyFont="1" applyAlignment="1">
      <alignment vertical="center"/>
    </xf>
    <xf numFmtId="0" fontId="20" fillId="2" borderId="0" xfId="0" applyFont="1" applyFill="1" applyAlignment="1">
      <alignment vertical="center"/>
    </xf>
    <xf numFmtId="0" fontId="0" fillId="0" borderId="0" xfId="0" applyAlignment="1">
      <alignment vertical="center" wrapText="1"/>
    </xf>
    <xf numFmtId="0" fontId="0" fillId="2" borderId="0" xfId="0" applyFill="1" applyAlignment="1">
      <alignment vertical="center" wrapText="1"/>
    </xf>
    <xf numFmtId="0" fontId="0" fillId="0" borderId="0" xfId="0" applyFill="1" applyAlignment="1">
      <alignment vertical="center"/>
    </xf>
    <xf numFmtId="0" fontId="0" fillId="6" borderId="0" xfId="0" applyFill="1" applyAlignment="1">
      <alignment vertical="center" wrapText="1"/>
    </xf>
    <xf numFmtId="0" fontId="0" fillId="0" borderId="0" xfId="0" applyAlignment="1">
      <alignment vertical="center"/>
    </xf>
    <xf numFmtId="0" fontId="20" fillId="0" borderId="0" xfId="0" applyFont="1" applyAlignment="1">
      <alignment vertical="center"/>
    </xf>
    <xf numFmtId="0" fontId="7" fillId="0" borderId="0" xfId="0" applyFont="1" applyAlignment="1">
      <alignment vertical="center" wrapText="1"/>
    </xf>
    <xf numFmtId="14" fontId="0" fillId="0" borderId="0" xfId="0" applyNumberFormat="1" applyAlignment="1">
      <alignment horizontal="left" vertical="center"/>
    </xf>
    <xf numFmtId="0" fontId="0" fillId="7" borderId="0" xfId="0" applyFill="1" applyAlignment="1">
      <alignment/>
    </xf>
    <xf numFmtId="0" fontId="4" fillId="7" borderId="0" xfId="0" applyFont="1" applyFill="1" applyAlignment="1">
      <alignment/>
    </xf>
    <xf numFmtId="0" fontId="20" fillId="7" borderId="0" xfId="0" applyFont="1" applyFill="1" applyAlignment="1">
      <alignment/>
    </xf>
    <xf numFmtId="0" fontId="33" fillId="0" borderId="12" xfId="0" applyFont="1" applyBorder="1" applyAlignment="1">
      <alignment/>
    </xf>
    <xf numFmtId="0" fontId="20" fillId="0" borderId="0" xfId="0" applyFont="1" applyAlignment="1">
      <alignment horizontal="center"/>
    </xf>
    <xf numFmtId="0" fontId="1" fillId="3"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4" borderId="7" xfId="0" applyFill="1" applyBorder="1" applyAlignment="1">
      <alignment horizontal="center"/>
    </xf>
    <xf numFmtId="0" fontId="2" fillId="0" borderId="0" xfId="0" applyFont="1" applyAlignment="1">
      <alignment horizontal="center"/>
    </xf>
    <xf numFmtId="0" fontId="2" fillId="8" borderId="13" xfId="0" applyFont="1" applyFill="1" applyBorder="1" applyAlignment="1" applyProtection="1">
      <alignment horizontal="center"/>
      <protection locked="0"/>
    </xf>
    <xf numFmtId="2" fontId="1" fillId="3" borderId="9" xfId="0" applyNumberFormat="1" applyFont="1" applyFill="1" applyBorder="1" applyAlignment="1">
      <alignment horizontal="center"/>
    </xf>
    <xf numFmtId="2" fontId="1" fillId="3" borderId="14" xfId="0" applyNumberFormat="1" applyFont="1" applyFill="1" applyBorder="1" applyAlignment="1">
      <alignment horizontal="center"/>
    </xf>
    <xf numFmtId="2" fontId="1" fillId="3" borderId="15"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16" xfId="0" applyNumberFormat="1" applyFont="1" applyFill="1" applyBorder="1" applyAlignment="1">
      <alignment horizontal="center"/>
    </xf>
    <xf numFmtId="2" fontId="1" fillId="3" borderId="5" xfId="0" applyNumberFormat="1" applyFont="1" applyFill="1" applyBorder="1" applyAlignment="1">
      <alignment horizontal="center"/>
    </xf>
    <xf numFmtId="2" fontId="1" fillId="3" borderId="17" xfId="0" applyNumberFormat="1" applyFont="1" applyFill="1" applyBorder="1" applyAlignment="1" applyProtection="1">
      <alignment horizontal="center"/>
      <protection hidden="1"/>
    </xf>
    <xf numFmtId="165" fontId="1" fillId="3" borderId="5" xfId="0" applyNumberFormat="1" applyFont="1" applyFill="1" applyBorder="1" applyAlignment="1">
      <alignment horizontal="center"/>
    </xf>
    <xf numFmtId="0" fontId="0" fillId="0" borderId="18" xfId="0" applyBorder="1" applyAlignment="1">
      <alignment horizontal="right"/>
    </xf>
    <xf numFmtId="2" fontId="1" fillId="3" borderId="17" xfId="0" applyNumberFormat="1" applyFont="1" applyFill="1" applyBorder="1" applyAlignment="1">
      <alignment horizontal="center"/>
    </xf>
    <xf numFmtId="165" fontId="1" fillId="3" borderId="17" xfId="0" applyNumberFormat="1" applyFont="1" applyFill="1" applyBorder="1" applyAlignment="1">
      <alignment horizontal="center"/>
    </xf>
    <xf numFmtId="0" fontId="1" fillId="3" borderId="10" xfId="0" applyFont="1" applyFill="1" applyBorder="1" applyAlignment="1" applyProtection="1">
      <alignment horizontal="center"/>
      <protection hidden="1"/>
    </xf>
    <xf numFmtId="0" fontId="20" fillId="2" borderId="19" xfId="0" applyFont="1" applyFill="1" applyBorder="1" applyAlignment="1">
      <alignment/>
    </xf>
    <xf numFmtId="0" fontId="11" fillId="2" borderId="17" xfId="0" applyFont="1" applyFill="1" applyBorder="1" applyAlignment="1">
      <alignment/>
    </xf>
    <xf numFmtId="0" fontId="7" fillId="3" borderId="20" xfId="0" applyFont="1" applyFill="1" applyBorder="1" applyAlignment="1">
      <alignment horizontal="center"/>
    </xf>
    <xf numFmtId="0" fontId="36" fillId="0" borderId="0" xfId="0" applyFont="1" applyAlignment="1">
      <alignment horizontal="center"/>
    </xf>
    <xf numFmtId="0" fontId="5" fillId="0" borderId="0" xfId="0" applyFont="1" applyAlignment="1">
      <alignment horizontal="center"/>
    </xf>
    <xf numFmtId="2" fontId="2" fillId="8" borderId="13" xfId="0" applyNumberFormat="1" applyFont="1" applyFill="1" applyBorder="1" applyAlignment="1" applyProtection="1">
      <alignment horizontal="center"/>
      <protection locked="0"/>
    </xf>
    <xf numFmtId="165" fontId="20" fillId="3" borderId="21" xfId="0" applyNumberFormat="1" applyFont="1" applyFill="1" applyBorder="1" applyAlignment="1">
      <alignment horizontal="center"/>
    </xf>
    <xf numFmtId="164" fontId="37" fillId="3" borderId="22" xfId="0" applyNumberFormat="1" applyFont="1" applyFill="1" applyBorder="1" applyAlignment="1">
      <alignment horizontal="center"/>
    </xf>
    <xf numFmtId="0" fontId="38" fillId="3" borderId="5" xfId="0" applyFont="1" applyFill="1" applyBorder="1" applyAlignment="1">
      <alignment/>
    </xf>
    <xf numFmtId="2" fontId="1" fillId="3" borderId="23" xfId="0" applyNumberFormat="1" applyFont="1" applyFill="1" applyBorder="1" applyAlignment="1">
      <alignment horizontal="center"/>
    </xf>
    <xf numFmtId="0" fontId="20" fillId="2" borderId="12" xfId="0" applyFont="1" applyFill="1" applyBorder="1" applyAlignment="1">
      <alignment/>
    </xf>
    <xf numFmtId="0" fontId="0" fillId="2" borderId="0" xfId="0" applyFill="1" applyBorder="1" applyAlignment="1">
      <alignment/>
    </xf>
    <xf numFmtId="0" fontId="33" fillId="0" borderId="19" xfId="0" applyFont="1" applyBorder="1" applyAlignment="1">
      <alignment/>
    </xf>
    <xf numFmtId="0" fontId="0" fillId="0" borderId="3" xfId="0" applyBorder="1" applyAlignment="1">
      <alignment/>
    </xf>
    <xf numFmtId="0" fontId="34" fillId="0" borderId="3" xfId="0" applyFont="1" applyBorder="1" applyAlignment="1">
      <alignment wrapText="1"/>
    </xf>
    <xf numFmtId="0" fontId="0" fillId="0" borderId="24" xfId="0" applyFill="1" applyBorder="1" applyAlignment="1">
      <alignment/>
    </xf>
    <xf numFmtId="2" fontId="2" fillId="8" borderId="21" xfId="0" applyNumberFormat="1" applyFont="1" applyFill="1" applyBorder="1" applyAlignment="1" applyProtection="1">
      <alignment horizontal="center"/>
      <protection locked="0"/>
    </xf>
    <xf numFmtId="0" fontId="20" fillId="8" borderId="13" xfId="0" applyFont="1" applyFill="1" applyBorder="1" applyAlignment="1" applyProtection="1">
      <alignment horizontal="center"/>
      <protection locked="0"/>
    </xf>
    <xf numFmtId="0" fontId="20" fillId="8" borderId="7" xfId="0" applyFont="1" applyFill="1" applyBorder="1" applyAlignment="1" applyProtection="1">
      <alignment horizontal="center"/>
      <protection locked="0"/>
    </xf>
    <xf numFmtId="0" fontId="20" fillId="0" borderId="25" xfId="0" applyFont="1" applyBorder="1" applyAlignment="1">
      <alignment/>
    </xf>
    <xf numFmtId="0" fontId="20" fillId="0" borderId="26" xfId="0" applyFont="1" applyBorder="1" applyAlignment="1">
      <alignment/>
    </xf>
    <xf numFmtId="0" fontId="2" fillId="6" borderId="13" xfId="0" applyFont="1" applyFill="1" applyBorder="1" applyAlignment="1" applyProtection="1">
      <alignment horizontal="center"/>
      <protection/>
    </xf>
    <xf numFmtId="0" fontId="0" fillId="4" borderId="27" xfId="0" applyFill="1" applyBorder="1" applyAlignment="1">
      <alignment/>
    </xf>
    <xf numFmtId="0" fontId="0" fillId="4" borderId="28"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0" xfId="0" applyFill="1" applyBorder="1" applyAlignment="1">
      <alignment/>
    </xf>
    <xf numFmtId="0" fontId="0" fillId="4" borderId="31" xfId="0" applyFill="1" applyBorder="1" applyAlignment="1">
      <alignment/>
    </xf>
    <xf numFmtId="11" fontId="0" fillId="4" borderId="30" xfId="0" applyNumberFormat="1" applyFill="1" applyBorder="1" applyAlignment="1">
      <alignment/>
    </xf>
    <xf numFmtId="11" fontId="0" fillId="4" borderId="0" xfId="0" applyNumberFormat="1" applyFill="1" applyBorder="1" applyAlignment="1">
      <alignment/>
    </xf>
    <xf numFmtId="11" fontId="0" fillId="4" borderId="32" xfId="0" applyNumberFormat="1" applyFill="1" applyBorder="1" applyAlignment="1">
      <alignment/>
    </xf>
    <xf numFmtId="11" fontId="0" fillId="4" borderId="33" xfId="0" applyNumberFormat="1" applyFill="1" applyBorder="1" applyAlignment="1">
      <alignment/>
    </xf>
    <xf numFmtId="0" fontId="0" fillId="4" borderId="34" xfId="0" applyFill="1" applyBorder="1" applyAlignment="1">
      <alignment/>
    </xf>
    <xf numFmtId="0" fontId="20" fillId="4" borderId="27" xfId="0" applyFont="1" applyFill="1" applyBorder="1" applyAlignment="1">
      <alignment/>
    </xf>
    <xf numFmtId="0" fontId="0" fillId="4" borderId="0" xfId="0" applyFill="1" applyBorder="1" applyAlignment="1" quotePrefix="1">
      <alignment/>
    </xf>
    <xf numFmtId="0" fontId="0" fillId="4" borderId="31" xfId="0" applyFill="1" applyBorder="1" applyAlignment="1" quotePrefix="1">
      <alignment/>
    </xf>
    <xf numFmtId="0" fontId="0" fillId="4" borderId="32" xfId="0" applyFill="1" applyBorder="1" applyAlignment="1">
      <alignment/>
    </xf>
    <xf numFmtId="0" fontId="0" fillId="4" borderId="33" xfId="0" applyFill="1" applyBorder="1" applyAlignment="1">
      <alignment/>
    </xf>
    <xf numFmtId="0" fontId="0" fillId="8" borderId="7" xfId="0" applyFill="1" applyBorder="1" applyAlignment="1">
      <alignment horizontal="center"/>
    </xf>
    <xf numFmtId="164" fontId="0" fillId="8" borderId="7" xfId="0" applyNumberFormat="1" applyFill="1" applyBorder="1" applyAlignment="1">
      <alignment horizontal="center"/>
    </xf>
    <xf numFmtId="2" fontId="0" fillId="4" borderId="0" xfId="0" applyNumberFormat="1" applyFill="1" applyBorder="1" applyAlignment="1">
      <alignment horizontal="center"/>
    </xf>
    <xf numFmtId="165" fontId="0" fillId="4" borderId="0" xfId="0" applyNumberFormat="1" applyFill="1" applyBorder="1" applyAlignment="1">
      <alignment horizontal="center"/>
    </xf>
    <xf numFmtId="0" fontId="44" fillId="0" borderId="0" xfId="0" applyFont="1" applyAlignment="1">
      <alignment/>
    </xf>
    <xf numFmtId="2" fontId="44" fillId="0" borderId="0" xfId="0" applyNumberFormat="1" applyFont="1" applyAlignment="1">
      <alignment/>
    </xf>
    <xf numFmtId="4" fontId="44" fillId="0" borderId="0" xfId="0" applyNumberFormat="1" applyFont="1" applyAlignment="1">
      <alignment/>
    </xf>
    <xf numFmtId="166" fontId="43" fillId="8" borderId="10" xfId="0" applyNumberFormat="1" applyFont="1" applyFill="1" applyBorder="1" applyAlignment="1">
      <alignment/>
    </xf>
    <xf numFmtId="0" fontId="0" fillId="4" borderId="0" xfId="0" applyFill="1" applyAlignment="1">
      <alignment/>
    </xf>
    <xf numFmtId="0" fontId="0" fillId="4" borderId="14" xfId="0" applyFill="1" applyBorder="1" applyAlignment="1">
      <alignment/>
    </xf>
    <xf numFmtId="0" fontId="0" fillId="4" borderId="15" xfId="0" applyFill="1" applyBorder="1" applyAlignment="1">
      <alignment/>
    </xf>
    <xf numFmtId="0" fontId="44" fillId="4" borderId="0" xfId="0" applyNumberFormat="1" applyFont="1" applyFill="1" applyAlignment="1">
      <alignment/>
    </xf>
    <xf numFmtId="2" fontId="45" fillId="4" borderId="0" xfId="0" applyNumberFormat="1" applyFont="1" applyFill="1" applyAlignment="1">
      <alignment/>
    </xf>
    <xf numFmtId="0" fontId="20" fillId="4" borderId="0" xfId="0" applyFont="1" applyFill="1" applyAlignment="1">
      <alignment horizontal="center"/>
    </xf>
    <xf numFmtId="0" fontId="44" fillId="4" borderId="0" xfId="0" applyFont="1" applyFill="1" applyAlignment="1">
      <alignment/>
    </xf>
    <xf numFmtId="0" fontId="0" fillId="4" borderId="0" xfId="0" applyNumberFormat="1" applyFill="1" applyAlignment="1">
      <alignment/>
    </xf>
    <xf numFmtId="4" fontId="44" fillId="4" borderId="0" xfId="0" applyNumberFormat="1" applyFont="1" applyFill="1" applyAlignment="1">
      <alignment/>
    </xf>
    <xf numFmtId="166" fontId="0" fillId="4" borderId="0" xfId="0" applyNumberFormat="1" applyFill="1" applyAlignment="1">
      <alignment/>
    </xf>
    <xf numFmtId="0" fontId="43" fillId="4" borderId="0" xfId="0" applyFont="1" applyFill="1" applyAlignment="1">
      <alignment/>
    </xf>
    <xf numFmtId="166" fontId="43" fillId="4" borderId="0" xfId="0" applyNumberFormat="1" applyFont="1" applyFill="1" applyBorder="1" applyAlignment="1">
      <alignment/>
    </xf>
    <xf numFmtId="1" fontId="0" fillId="4" borderId="0" xfId="0" applyNumberFormat="1" applyFill="1" applyAlignment="1">
      <alignment/>
    </xf>
    <xf numFmtId="3" fontId="44" fillId="4" borderId="0" xfId="0" applyNumberFormat="1" applyFont="1" applyFill="1" applyAlignment="1">
      <alignment/>
    </xf>
    <xf numFmtId="1" fontId="44" fillId="4" borderId="0" xfId="0" applyNumberFormat="1" applyFont="1" applyFill="1" applyAlignment="1">
      <alignment/>
    </xf>
    <xf numFmtId="3" fontId="0" fillId="4" borderId="0" xfId="0" applyNumberFormat="1" applyFill="1" applyAlignment="1">
      <alignment/>
    </xf>
    <xf numFmtId="2" fontId="0" fillId="4" borderId="0" xfId="0" applyNumberFormat="1" applyFill="1" applyAlignment="1">
      <alignment/>
    </xf>
    <xf numFmtId="4" fontId="0" fillId="4" borderId="0" xfId="0" applyNumberFormat="1" applyFill="1" applyAlignment="1">
      <alignment/>
    </xf>
    <xf numFmtId="0" fontId="20" fillId="4" borderId="0" xfId="0" applyFont="1" applyFill="1" applyAlignment="1">
      <alignment/>
    </xf>
    <xf numFmtId="2" fontId="20" fillId="8" borderId="10" xfId="0" applyNumberFormat="1" applyFont="1" applyFill="1" applyBorder="1" applyAlignment="1">
      <alignment/>
    </xf>
    <xf numFmtId="0" fontId="20" fillId="8" borderId="11" xfId="0" applyFont="1" applyFill="1" applyBorder="1" applyAlignment="1">
      <alignment/>
    </xf>
    <xf numFmtId="2" fontId="44" fillId="6" borderId="10" xfId="0" applyNumberFormat="1" applyFont="1" applyFill="1" applyBorder="1" applyAlignment="1">
      <alignment/>
    </xf>
    <xf numFmtId="4" fontId="44" fillId="6" borderId="11" xfId="0" applyNumberFormat="1" applyFont="1" applyFill="1" applyBorder="1" applyAlignment="1">
      <alignment/>
    </xf>
    <xf numFmtId="2" fontId="44" fillId="4" borderId="9" xfId="0" applyNumberFormat="1" applyFont="1" applyFill="1" applyBorder="1" applyAlignment="1">
      <alignment horizontal="right"/>
    </xf>
    <xf numFmtId="165" fontId="20" fillId="8" borderId="7" xfId="0" applyNumberFormat="1" applyFont="1" applyFill="1" applyBorder="1" applyAlignment="1" applyProtection="1">
      <alignment horizontal="center"/>
      <protection locked="0"/>
    </xf>
    <xf numFmtId="0" fontId="0" fillId="8" borderId="7" xfId="0" applyFill="1" applyBorder="1" applyAlignment="1">
      <alignment/>
    </xf>
    <xf numFmtId="165" fontId="0" fillId="6" borderId="10" xfId="0" applyNumberFormat="1" applyFill="1" applyBorder="1" applyAlignment="1">
      <alignment/>
    </xf>
    <xf numFmtId="0" fontId="0" fillId="6" borderId="7" xfId="0" applyFill="1" applyBorder="1" applyAlignment="1">
      <alignment/>
    </xf>
    <xf numFmtId="0" fontId="0" fillId="6" borderId="15" xfId="0" applyFill="1" applyBorder="1" applyAlignment="1">
      <alignment/>
    </xf>
    <xf numFmtId="0" fontId="51" fillId="0" borderId="0" xfId="21">
      <alignment/>
      <protection/>
    </xf>
    <xf numFmtId="0" fontId="53" fillId="0" borderId="0" xfId="21" applyFont="1">
      <alignment/>
      <protection/>
    </xf>
    <xf numFmtId="0" fontId="54" fillId="0" borderId="0" xfId="21" applyFont="1">
      <alignment/>
      <protection/>
    </xf>
    <xf numFmtId="0" fontId="51" fillId="4" borderId="0" xfId="21" applyFill="1">
      <alignment/>
      <protection/>
    </xf>
    <xf numFmtId="0" fontId="55" fillId="4" borderId="0" xfId="21" applyFont="1" applyFill="1">
      <alignment/>
      <protection/>
    </xf>
    <xf numFmtId="0" fontId="56" fillId="4" borderId="0" xfId="21" applyFont="1" applyFill="1">
      <alignment/>
      <protection/>
    </xf>
    <xf numFmtId="0" fontId="54" fillId="4" borderId="0" xfId="21" applyFont="1" applyFill="1">
      <alignment/>
      <protection/>
    </xf>
    <xf numFmtId="0" fontId="57" fillId="4" borderId="0" xfId="21" applyFont="1" applyFill="1">
      <alignment/>
      <protection/>
    </xf>
    <xf numFmtId="0" fontId="51" fillId="0" borderId="0" xfId="21" applyFill="1" applyBorder="1" applyAlignment="1">
      <alignment horizontal="center"/>
      <protection/>
    </xf>
    <xf numFmtId="166" fontId="51" fillId="0" borderId="0" xfId="21" applyNumberFormat="1" applyFill="1" applyAlignment="1">
      <alignment horizontal="center"/>
      <protection/>
    </xf>
    <xf numFmtId="0" fontId="51" fillId="4" borderId="0" xfId="21" applyFill="1" applyBorder="1" applyAlignment="1">
      <alignment horizontal="center"/>
      <protection/>
    </xf>
    <xf numFmtId="0" fontId="58" fillId="0" borderId="0" xfId="21" applyFont="1">
      <alignment/>
      <protection/>
    </xf>
    <xf numFmtId="2" fontId="51" fillId="6" borderId="0" xfId="21" applyNumberFormat="1" applyFill="1" applyAlignment="1">
      <alignment horizontal="center"/>
      <protection/>
    </xf>
    <xf numFmtId="166" fontId="51" fillId="6" borderId="0" xfId="21" applyNumberFormat="1" applyFill="1" applyAlignment="1">
      <alignment horizontal="center"/>
      <protection/>
    </xf>
    <xf numFmtId="166" fontId="54" fillId="0" borderId="0" xfId="21" applyNumberFormat="1" applyFont="1" applyFill="1" applyAlignment="1">
      <alignment horizontal="left"/>
      <protection/>
    </xf>
    <xf numFmtId="166" fontId="59" fillId="0" borderId="0" xfId="21" applyNumberFormat="1" applyFont="1" applyFill="1" applyAlignment="1">
      <alignment horizontal="center"/>
      <protection/>
    </xf>
    <xf numFmtId="0" fontId="59" fillId="0" borderId="0" xfId="21" applyFont="1">
      <alignment/>
      <protection/>
    </xf>
    <xf numFmtId="0" fontId="60" fillId="0" borderId="0" xfId="21" applyFont="1">
      <alignment/>
      <protection/>
    </xf>
    <xf numFmtId="0" fontId="61" fillId="0" borderId="0" xfId="21" applyFont="1">
      <alignment/>
      <protection/>
    </xf>
    <xf numFmtId="11" fontId="60" fillId="0" borderId="0" xfId="21" applyNumberFormat="1" applyFont="1">
      <alignment/>
      <protection/>
    </xf>
    <xf numFmtId="0" fontId="54" fillId="4" borderId="27" xfId="21" applyFont="1" applyFill="1" applyBorder="1">
      <alignment/>
      <protection/>
    </xf>
    <xf numFmtId="0" fontId="51" fillId="4" borderId="28" xfId="21" applyFill="1" applyBorder="1">
      <alignment/>
      <protection/>
    </xf>
    <xf numFmtId="0" fontId="51" fillId="4" borderId="29" xfId="21" applyFill="1" applyBorder="1">
      <alignment/>
      <protection/>
    </xf>
    <xf numFmtId="0" fontId="54" fillId="4" borderId="30" xfId="21" applyFont="1" applyFill="1" applyBorder="1" applyAlignment="1">
      <alignment horizontal="center"/>
      <protection/>
    </xf>
    <xf numFmtId="0" fontId="54" fillId="4" borderId="0" xfId="21" applyFont="1" applyFill="1" applyBorder="1" applyAlignment="1">
      <alignment horizontal="center"/>
      <protection/>
    </xf>
    <xf numFmtId="0" fontId="54" fillId="4" borderId="31" xfId="21" applyFont="1" applyFill="1" applyBorder="1" applyAlignment="1">
      <alignment horizontal="center"/>
      <protection/>
    </xf>
    <xf numFmtId="9" fontId="54" fillId="4" borderId="0" xfId="21" applyNumberFormat="1" applyFont="1" applyFill="1" applyBorder="1" applyAlignment="1">
      <alignment horizontal="center"/>
      <protection/>
    </xf>
    <xf numFmtId="9" fontId="54" fillId="4" borderId="31" xfId="21" applyNumberFormat="1" applyFont="1" applyFill="1" applyBorder="1" applyAlignment="1">
      <alignment horizontal="center"/>
      <protection/>
    </xf>
    <xf numFmtId="9" fontId="54" fillId="4" borderId="30" xfId="21" applyNumberFormat="1" applyFont="1" applyFill="1" applyBorder="1" applyAlignment="1">
      <alignment horizontal="center"/>
      <protection/>
    </xf>
    <xf numFmtId="2" fontId="54" fillId="6" borderId="0" xfId="21" applyNumberFormat="1" applyFont="1" applyFill="1" applyBorder="1" applyAlignment="1">
      <alignment horizontal="center"/>
      <protection/>
    </xf>
    <xf numFmtId="0" fontId="54" fillId="4" borderId="32" xfId="21" applyFont="1" applyFill="1" applyBorder="1" applyAlignment="1">
      <alignment horizontal="center"/>
      <protection/>
    </xf>
    <xf numFmtId="0" fontId="51" fillId="0" borderId="0" xfId="21" applyFill="1">
      <alignment/>
      <protection/>
    </xf>
    <xf numFmtId="0" fontId="51" fillId="4" borderId="0" xfId="21" applyFill="1" applyAlignment="1">
      <alignment horizontal="center"/>
      <protection/>
    </xf>
    <xf numFmtId="166" fontId="43" fillId="4" borderId="0" xfId="21" applyNumberFormat="1" applyFont="1" applyFill="1" applyAlignment="1">
      <alignment horizontal="center"/>
      <protection/>
    </xf>
    <xf numFmtId="0" fontId="51" fillId="0" borderId="0" xfId="21" applyFill="1" applyAlignment="1">
      <alignment horizontal="center"/>
      <protection/>
    </xf>
    <xf numFmtId="166" fontId="43" fillId="0" borderId="0" xfId="21" applyNumberFormat="1" applyFont="1" applyFill="1" applyAlignment="1">
      <alignment horizontal="center"/>
      <protection/>
    </xf>
    <xf numFmtId="0" fontId="62" fillId="0" borderId="0" xfId="21" applyFont="1">
      <alignment/>
      <protection/>
    </xf>
    <xf numFmtId="0" fontId="54" fillId="0" borderId="0" xfId="21" applyFont="1" applyAlignment="1">
      <alignment horizontal="left"/>
      <protection/>
    </xf>
    <xf numFmtId="0" fontId="54" fillId="0" borderId="0" xfId="21" applyFont="1" applyAlignment="1">
      <alignment horizontal="center"/>
      <protection/>
    </xf>
    <xf numFmtId="11" fontId="54" fillId="0" borderId="0" xfId="21" applyNumberFormat="1" applyFont="1">
      <alignment/>
      <protection/>
    </xf>
    <xf numFmtId="9" fontId="54" fillId="0" borderId="0" xfId="21" applyNumberFormat="1" applyFont="1" applyAlignment="1">
      <alignment horizontal="center"/>
      <protection/>
    </xf>
    <xf numFmtId="2" fontId="44" fillId="0" borderId="0" xfId="21" applyNumberFormat="1" applyFont="1">
      <alignment/>
      <protection/>
    </xf>
    <xf numFmtId="0" fontId="44" fillId="0" borderId="0" xfId="21" applyFont="1">
      <alignment/>
      <protection/>
    </xf>
    <xf numFmtId="4" fontId="44" fillId="0" borderId="0" xfId="21" applyNumberFormat="1" applyFont="1">
      <alignment/>
      <protection/>
    </xf>
    <xf numFmtId="0" fontId="62" fillId="0" borderId="0" xfId="21" applyFont="1" applyAlignment="1">
      <alignment vertical="top" wrapText="1"/>
      <protection/>
    </xf>
    <xf numFmtId="164" fontId="51" fillId="0" borderId="0" xfId="21" applyNumberFormat="1">
      <alignment/>
      <protection/>
    </xf>
    <xf numFmtId="0" fontId="54" fillId="0" borderId="27" xfId="21" applyFont="1" applyBorder="1">
      <alignment/>
      <protection/>
    </xf>
    <xf numFmtId="0" fontId="54" fillId="0" borderId="29" xfId="21" applyFont="1" applyBorder="1">
      <alignment/>
      <protection/>
    </xf>
    <xf numFmtId="0" fontId="54" fillId="0" borderId="32" xfId="21" applyFont="1" applyBorder="1">
      <alignment/>
      <protection/>
    </xf>
    <xf numFmtId="0" fontId="54" fillId="0" borderId="34" xfId="21" applyFont="1" applyBorder="1">
      <alignment/>
      <protection/>
    </xf>
    <xf numFmtId="0" fontId="51" fillId="0" borderId="27" xfId="21" applyBorder="1" applyAlignment="1">
      <alignment horizontal="center"/>
      <protection/>
    </xf>
    <xf numFmtId="0" fontId="51" fillId="0" borderId="29" xfId="21" applyBorder="1" applyAlignment="1">
      <alignment horizontal="center"/>
      <protection/>
    </xf>
    <xf numFmtId="0" fontId="51" fillId="0" borderId="30" xfId="21" applyBorder="1" applyAlignment="1">
      <alignment horizontal="center"/>
      <protection/>
    </xf>
    <xf numFmtId="0" fontId="51" fillId="0" borderId="31" xfId="21" applyBorder="1" applyAlignment="1">
      <alignment horizontal="center"/>
      <protection/>
    </xf>
    <xf numFmtId="0" fontId="51" fillId="4" borderId="32" xfId="21" applyFill="1" applyBorder="1">
      <alignment/>
      <protection/>
    </xf>
    <xf numFmtId="0" fontId="51" fillId="4" borderId="34" xfId="21" applyFill="1" applyBorder="1">
      <alignment/>
      <protection/>
    </xf>
    <xf numFmtId="0" fontId="51" fillId="0" borderId="0" xfId="21" applyFill="1" applyBorder="1">
      <alignment/>
      <protection/>
    </xf>
    <xf numFmtId="0" fontId="54" fillId="4" borderId="9" xfId="21" applyFont="1" applyFill="1" applyBorder="1">
      <alignment/>
      <protection/>
    </xf>
    <xf numFmtId="0" fontId="54" fillId="4" borderId="15" xfId="21" applyFont="1" applyFill="1" applyBorder="1">
      <alignment/>
      <protection/>
    </xf>
    <xf numFmtId="0" fontId="51" fillId="4" borderId="30" xfId="21" applyFill="1" applyBorder="1">
      <alignment/>
      <protection/>
    </xf>
    <xf numFmtId="166" fontId="51" fillId="4" borderId="31" xfId="21" applyNumberFormat="1" applyFill="1" applyBorder="1" applyAlignment="1">
      <alignment horizontal="center"/>
      <protection/>
    </xf>
    <xf numFmtId="166" fontId="62" fillId="0" borderId="0" xfId="21" applyNumberFormat="1" applyFont="1">
      <alignment/>
      <protection/>
    </xf>
    <xf numFmtId="166" fontId="51" fillId="4" borderId="34" xfId="21" applyNumberFormat="1" applyFill="1" applyBorder="1" applyAlignment="1">
      <alignment horizontal="center"/>
      <protection/>
    </xf>
    <xf numFmtId="0" fontId="51" fillId="0" borderId="0" xfId="21" applyFont="1">
      <alignment/>
      <protection/>
    </xf>
    <xf numFmtId="0" fontId="0" fillId="8" borderId="0" xfId="0" applyFill="1" applyBorder="1" applyAlignment="1">
      <alignment horizontal="center"/>
    </xf>
    <xf numFmtId="0" fontId="0" fillId="6" borderId="0" xfId="0" applyFill="1" applyAlignment="1">
      <alignment/>
    </xf>
    <xf numFmtId="2" fontId="2" fillId="0" borderId="0" xfId="0" applyNumberFormat="1" applyFont="1" applyAlignment="1" applyProtection="1">
      <alignment/>
      <protection/>
    </xf>
    <xf numFmtId="2" fontId="0" fillId="0" borderId="0" xfId="0" applyNumberFormat="1" applyAlignment="1" applyProtection="1">
      <alignment/>
      <protection/>
    </xf>
    <xf numFmtId="0" fontId="68" fillId="3" borderId="35" xfId="0" applyFont="1" applyFill="1" applyBorder="1" applyAlignment="1">
      <alignment/>
    </xf>
    <xf numFmtId="166" fontId="0" fillId="0" borderId="0" xfId="0" applyNumberFormat="1" applyFont="1" applyAlignment="1">
      <alignment horizontal="right"/>
    </xf>
    <xf numFmtId="0" fontId="0" fillId="0" borderId="0" xfId="0" applyAlignment="1">
      <alignment wrapText="1"/>
    </xf>
    <xf numFmtId="0" fontId="7" fillId="2" borderId="3" xfId="0" applyFont="1" applyFill="1" applyBorder="1" applyAlignment="1">
      <alignment wrapText="1"/>
    </xf>
    <xf numFmtId="0" fontId="20" fillId="0" borderId="24" xfId="0" applyFont="1" applyBorder="1" applyAlignment="1">
      <alignment wrapText="1"/>
    </xf>
    <xf numFmtId="0" fontId="20" fillId="0" borderId="0" xfId="0" applyFont="1" applyBorder="1" applyAlignment="1">
      <alignment wrapText="1"/>
    </xf>
    <xf numFmtId="0" fontId="20" fillId="0" borderId="25" xfId="0" applyFont="1" applyBorder="1" applyAlignment="1">
      <alignment wrapText="1"/>
    </xf>
    <xf numFmtId="0" fontId="61" fillId="0" borderId="0" xfId="21" applyFont="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86 to d2887 conversion" xfId="21"/>
    <cellStyle name="Normal_OCR000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ASTM D2887 Distillation Curve</a:t>
            </a:r>
          </a:p>
        </c:rich>
      </c:tx>
      <c:layout/>
      <c:spPr>
        <a:noFill/>
        <a:ln>
          <a:noFill/>
        </a:ln>
      </c:spPr>
    </c:title>
    <c:plotArea>
      <c:layout>
        <c:manualLayout>
          <c:xMode val="edge"/>
          <c:yMode val="edge"/>
          <c:x val="0.10075"/>
          <c:y val="0.149"/>
          <c:w val="0.84525"/>
          <c:h val="0.74325"/>
        </c:manualLayout>
      </c:layout>
      <c:scatterChart>
        <c:scatterStyle val="smooth"/>
        <c:varyColors val="0"/>
        <c:ser>
          <c:idx val="0"/>
          <c:order val="0"/>
          <c:tx>
            <c:v>Distillation Curve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form'!$BB$41:$BB$59</c:f>
              <c:numCache>
                <c:ptCount val="19"/>
                <c:pt idx="0">
                  <c:v>0</c:v>
                </c:pt>
                <c:pt idx="1">
                  <c:v>9.992007221626409E-16</c:v>
                </c:pt>
                <c:pt idx="2">
                  <c:v>3.370437262617543E-11</c:v>
                </c:pt>
                <c:pt idx="3">
                  <c:v>4.4458193126928336E-08</c:v>
                </c:pt>
                <c:pt idx="4">
                  <c:v>7.614852095549907E-06</c:v>
                </c:pt>
                <c:pt idx="5">
                  <c:v>0.0003129117794055114</c:v>
                </c:pt>
                <c:pt idx="6">
                  <c:v>0.003999850302993213</c:v>
                </c:pt>
                <c:pt idx="7">
                  <c:v>0.025521181777798496</c:v>
                </c:pt>
                <c:pt idx="8">
                  <c:v>0.09112539823254562</c:v>
                </c:pt>
                <c:pt idx="9">
                  <c:v>0.22297939017435509</c:v>
                </c:pt>
                <c:pt idx="10">
                  <c:v>0.4093703674725764</c:v>
                </c:pt>
                <c:pt idx="11">
                  <c:v>0.5954188243907053</c:v>
                </c:pt>
                <c:pt idx="12">
                  <c:v>0.7527296027794499</c:v>
                </c:pt>
                <c:pt idx="13">
                  <c:v>0.8703554627525845</c:v>
                </c:pt>
                <c:pt idx="14">
                  <c:v>0.9428598640278992</c:v>
                </c:pt>
                <c:pt idx="15">
                  <c:v>0.9792736701562916</c:v>
                </c:pt>
                <c:pt idx="16">
                  <c:v>0.993950566035544</c:v>
                </c:pt>
                <c:pt idx="17">
                  <c:v>0.9984754689791374</c:v>
                </c:pt>
                <c:pt idx="18">
                  <c:v>0.9996642112784967</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58737449"/>
        <c:axId val="58874994"/>
      </c:scatterChart>
      <c:valAx>
        <c:axId val="58737449"/>
        <c:scaling>
          <c:orientation val="minMax"/>
          <c:max val="1"/>
          <c:min val="0"/>
        </c:scaling>
        <c:axPos val="b"/>
        <c:title>
          <c:tx>
            <c:rich>
              <a:bodyPr vert="horz" rot="0" anchor="ctr"/>
              <a:lstStyle/>
              <a:p>
                <a:pPr algn="ctr">
                  <a:defRPr/>
                </a:pPr>
                <a:r>
                  <a:rPr lang="en-US" cap="none" sz="800" b="1" i="0" u="none" baseline="0">
                    <a:latin typeface="Arial"/>
                    <a:ea typeface="Arial"/>
                    <a:cs typeface="Arial"/>
                  </a:rPr>
                  <a:t>Fraction Distilled</a:t>
                </a:r>
              </a:p>
            </c:rich>
          </c:tx>
          <c:layout>
            <c:manualLayout>
              <c:xMode val="factor"/>
              <c:yMode val="factor"/>
              <c:x val="-0.00675"/>
              <c:y val="0.0105"/>
            </c:manualLayout>
          </c:layout>
          <c:overlay val="0"/>
          <c:spPr>
            <a:noFill/>
            <a:ln>
              <a:noFill/>
            </a:ln>
          </c:spPr>
        </c:title>
        <c:majorGridlines/>
        <c:delete val="0"/>
        <c:numFmt formatCode="0.0" sourceLinked="0"/>
        <c:majorTickMark val="out"/>
        <c:minorTickMark val="none"/>
        <c:tickLblPos val="nextTo"/>
        <c:crossAx val="58874994"/>
        <c:crosses val="autoZero"/>
        <c:crossBetween val="midCat"/>
        <c:dispUnits/>
        <c:majorUnit val="0.2"/>
        <c:minorUnit val="0.05"/>
      </c:valAx>
      <c:valAx>
        <c:axId val="58874994"/>
        <c:scaling>
          <c:orientation val="minMax"/>
          <c:max val="600"/>
          <c:min val="100"/>
        </c:scaling>
        <c:axPos val="l"/>
        <c:title>
          <c:tx>
            <c:rich>
              <a:bodyPr vert="horz" rot="-5400000" anchor="ctr"/>
              <a:lstStyle/>
              <a:p>
                <a:pPr algn="ctr">
                  <a:defRPr/>
                </a:pPr>
                <a:r>
                  <a:rPr lang="en-US" cap="none" sz="800" b="1" i="0" u="none" baseline="0">
                    <a:latin typeface="Arial"/>
                    <a:ea typeface="Arial"/>
                    <a:cs typeface="Arial"/>
                  </a:rPr>
                  <a:t>Temperature Deg F</a:t>
                </a:r>
              </a:p>
            </c:rich>
          </c:tx>
          <c:layout/>
          <c:overlay val="0"/>
          <c:spPr>
            <a:noFill/>
            <a:ln>
              <a:noFill/>
            </a:ln>
          </c:spPr>
        </c:title>
        <c:majorGridlines/>
        <c:delete val="0"/>
        <c:numFmt formatCode="General" sourceLinked="1"/>
        <c:majorTickMark val="out"/>
        <c:minorTickMark val="none"/>
        <c:tickLblPos val="nextTo"/>
        <c:crossAx val="5873744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D86 Comparison</a:t>
            </a:r>
          </a:p>
        </c:rich>
      </c:tx>
      <c:layout/>
      <c:spPr>
        <a:noFill/>
        <a:ln>
          <a:noFill/>
        </a:ln>
      </c:spPr>
    </c:title>
    <c:plotArea>
      <c:layout/>
      <c:scatterChart>
        <c:scatterStyle val="smooth"/>
        <c:varyColors val="0"/>
        <c:ser>
          <c:idx val="1"/>
          <c:order val="0"/>
          <c:tx>
            <c:v> Original Input</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'Input-output'!$B$8:$B$38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'Input-output'!$C$8:$C$38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1"/>
        </c:ser>
        <c:ser>
          <c:idx val="0"/>
          <c:order val="1"/>
          <c:tx>
            <c:v>D86 Cross Check from D2887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noFill/>
              <a:ln>
                <a:solidFill>
                  <a:srgbClr val="FF0000"/>
                </a:solidFill>
              </a:ln>
            </c:spPr>
          </c:marker>
          <c:xVal>
            <c:numRef>
              <c:f>'Input-output'!$B$8:$B$38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data1!$L$12:$L$42</c:f>
              <c:numCache>
                <c:ptCount val="31"/>
                <c:pt idx="0">
                  <c:v>314.09279281738964</c:v>
                </c:pt>
                <c:pt idx="1">
                  <c:v>318.0144450772086</c:v>
                </c:pt>
                <c:pt idx="2">
                  <c:v>321.7883075597251</c:v>
                </c:pt>
                <c:pt idx="3">
                  <c:v>325.42619659707594</c:v>
                </c:pt>
                <c:pt idx="4">
                  <c:v>328.93890101425524</c:v>
                </c:pt>
                <c:pt idx="5">
                  <c:v>344.9289671628933</c:v>
                </c:pt>
                <c:pt idx="6">
                  <c:v>358.90768808045834</c:v>
                </c:pt>
                <c:pt idx="7">
                  <c:v>372.2331485816708</c:v>
                </c:pt>
                <c:pt idx="8">
                  <c:v>377.3997559723708</c:v>
                </c:pt>
                <c:pt idx="9">
                  <c:v>382.3049544647832</c:v>
                </c:pt>
                <c:pt idx="10">
                  <c:v>387.0813108279144</c:v>
                </c:pt>
                <c:pt idx="11">
                  <c:v>391.84649327186906</c:v>
                </c:pt>
                <c:pt idx="12">
                  <c:v>396.70996059674434</c:v>
                </c:pt>
                <c:pt idx="13">
                  <c:v>401.7787391848575</c:v>
                </c:pt>
                <c:pt idx="14">
                  <c:v>407.1625918885283</c:v>
                </c:pt>
                <c:pt idx="15">
                  <c:v>412.9815433225856</c:v>
                </c:pt>
                <c:pt idx="16">
                  <c:v>419.37507744409766</c:v>
                </c:pt>
                <c:pt idx="17">
                  <c:v>426.5185563723869</c:v>
                </c:pt>
                <c:pt idx="18">
                  <c:v>434.6519533240554</c:v>
                </c:pt>
                <c:pt idx="19">
                  <c:v>444.13610227414586</c:v>
                </c:pt>
                <c:pt idx="20">
                  <c:v>455.5792596937541</c:v>
                </c:pt>
                <c:pt idx="21">
                  <c:v>470.1813676789459</c:v>
                </c:pt>
                <c:pt idx="22">
                  <c:v>473.6826810470557</c:v>
                </c:pt>
                <c:pt idx="23">
                  <c:v>477.45399278873873</c:v>
                </c:pt>
                <c:pt idx="24">
                  <c:v>481.54790393848606</c:v>
                </c:pt>
                <c:pt idx="25">
                  <c:v>486.03495461191585</c:v>
                </c:pt>
                <c:pt idx="26">
                  <c:v>491.01304962467077</c:v>
                </c:pt>
                <c:pt idx="27">
                  <c:v>496.6246374429883</c:v>
                </c:pt>
                <c:pt idx="28">
                  <c:v>503.08878769317414</c:v>
                </c:pt>
                <c:pt idx="29">
                  <c:v>510.7706670944416</c:v>
                </c:pt>
                <c:pt idx="30">
                  <c:v>520.3559134085108</c:v>
                </c:pt>
              </c:numCache>
            </c:numRef>
          </c:yVal>
          <c:smooth val="1"/>
        </c:ser>
        <c:axId val="39043923"/>
        <c:axId val="15850988"/>
      </c:scatterChart>
      <c:valAx>
        <c:axId val="39043923"/>
        <c:scaling>
          <c:orientation val="minMax"/>
          <c:max val="100"/>
        </c:scaling>
        <c:axPos val="b"/>
        <c:title>
          <c:tx>
            <c:rich>
              <a:bodyPr vert="horz" rot="0" anchor="ctr"/>
              <a:lstStyle/>
              <a:p>
                <a:pPr algn="ctr">
                  <a:defRPr/>
                </a:pPr>
                <a:r>
                  <a:rPr lang="en-US" cap="none" sz="500" b="1" i="0" u="none" baseline="0"/>
                  <a:t>% Distilled</a:t>
                </a:r>
              </a:p>
            </c:rich>
          </c:tx>
          <c:layout/>
          <c:overlay val="0"/>
          <c:spPr>
            <a:noFill/>
            <a:ln>
              <a:noFill/>
            </a:ln>
          </c:spPr>
        </c:title>
        <c:delete val="0"/>
        <c:numFmt formatCode="General" sourceLinked="1"/>
        <c:majorTickMark val="out"/>
        <c:minorTickMark val="none"/>
        <c:tickLblPos val="nextTo"/>
        <c:crossAx val="15850988"/>
        <c:crosses val="autoZero"/>
        <c:crossBetween val="midCat"/>
        <c:dispUnits/>
        <c:majorUnit val="20"/>
        <c:minorUnit val="5"/>
      </c:valAx>
      <c:valAx>
        <c:axId val="15850988"/>
        <c:scaling>
          <c:orientation val="minMax"/>
          <c:min val="100"/>
        </c:scaling>
        <c:axPos val="l"/>
        <c:title>
          <c:tx>
            <c:rich>
              <a:bodyPr vert="horz" rot="-5400000" anchor="ctr"/>
              <a:lstStyle/>
              <a:p>
                <a:pPr algn="ctr">
                  <a:defRPr/>
                </a:pPr>
                <a:r>
                  <a:rPr lang="en-US" cap="none" sz="500" b="1" i="0" u="none" baseline="0"/>
                  <a:t>Temperature Deg F</a:t>
                </a:r>
              </a:p>
            </c:rich>
          </c:tx>
          <c:layout/>
          <c:overlay val="0"/>
          <c:spPr>
            <a:noFill/>
            <a:ln>
              <a:noFill/>
            </a:ln>
          </c:spPr>
        </c:title>
        <c:majorGridlines/>
        <c:delete val="0"/>
        <c:numFmt formatCode="General" sourceLinked="1"/>
        <c:majorTickMark val="out"/>
        <c:minorTickMark val="none"/>
        <c:tickLblPos val="nextTo"/>
        <c:crossAx val="39043923"/>
        <c:crosses val="autoZero"/>
        <c:crossBetween val="midCat"/>
        <c:dispUnits/>
        <c:majorUnit val="50"/>
        <c:minorUnit val="1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Composite 30/70%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data!$M$13:$M$132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ser>
          <c:idx val="1"/>
          <c:order val="1"/>
          <c:tx>
            <c:v>30% only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data!$N$13:$N$132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ser>
          <c:idx val="2"/>
          <c:order val="2"/>
          <c:tx>
            <c:v>70% Only</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data!$L$13:$L$132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data!$O$13:$O$132</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0"/>
        </c:ser>
        <c:axId val="8441165"/>
        <c:axId val="8861622"/>
      </c:scatterChart>
      <c:valAx>
        <c:axId val="8441165"/>
        <c:scaling>
          <c:orientation val="minMax"/>
        </c:scaling>
        <c:axPos val="b"/>
        <c:delete val="0"/>
        <c:numFmt formatCode="General" sourceLinked="1"/>
        <c:majorTickMark val="out"/>
        <c:minorTickMark val="none"/>
        <c:tickLblPos val="nextTo"/>
        <c:crossAx val="8861622"/>
        <c:crosses val="autoZero"/>
        <c:crossBetween val="midCat"/>
        <c:dispUnits/>
      </c:valAx>
      <c:valAx>
        <c:axId val="8861622"/>
        <c:scaling>
          <c:orientation val="minMax"/>
        </c:scaling>
        <c:axPos val="l"/>
        <c:majorGridlines/>
        <c:delete val="0"/>
        <c:numFmt formatCode="General" sourceLinked="1"/>
        <c:majorTickMark val="out"/>
        <c:minorTickMark val="none"/>
        <c:tickLblPos val="nextTo"/>
        <c:crossAx val="84411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Vapor pressure Comparison</a:t>
            </a:r>
          </a:p>
        </c:rich>
      </c:tx>
      <c:layout/>
      <c:spPr>
        <a:noFill/>
        <a:ln>
          <a:noFill/>
        </a:ln>
      </c:spPr>
    </c:title>
    <c:plotArea>
      <c:layout/>
      <c:scatterChart>
        <c:scatterStyle val="smooth"/>
        <c:varyColors val="0"/>
        <c:ser>
          <c:idx val="2"/>
          <c:order val="0"/>
          <c:tx>
            <c:v>"Vapor Pressure from Model"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Sheet1!$BA$12:$BA$16</c:f>
              <c:numCache>
                <c:ptCount val="5"/>
                <c:pt idx="0">
                  <c:v>3.463736602074394</c:v>
                </c:pt>
                <c:pt idx="1">
                  <c:v>3.274692087980061</c:v>
                </c:pt>
                <c:pt idx="2">
                  <c:v>3.105215036141253</c:v>
                </c:pt>
                <c:pt idx="3">
                  <c:v>2.952416881263635</c:v>
                </c:pt>
                <c:pt idx="4">
                  <c:v>2.8139509434552195</c:v>
                </c:pt>
              </c:numCache>
            </c:numRef>
          </c:xVal>
          <c:yVal>
            <c:numRef>
              <c:f>Sheet1!$BB$12:$BB$16</c:f>
              <c:numCache>
                <c:ptCount val="5"/>
                <c:pt idx="0">
                  <c:v>0.02318919077515602</c:v>
                </c:pt>
                <c:pt idx="1">
                  <c:v>0.060800667852163315</c:v>
                </c:pt>
                <c:pt idx="2">
                  <c:v>0.14399586617946625</c:v>
                </c:pt>
                <c:pt idx="3">
                  <c:v>0.31245091557502747</c:v>
                </c:pt>
                <c:pt idx="4">
                  <c:v>0.6285426020622253</c:v>
                </c:pt>
              </c:numCache>
            </c:numRef>
          </c:yVal>
          <c:smooth val="1"/>
        </c:ser>
        <c:ser>
          <c:idx val="0"/>
          <c:order val="1"/>
          <c:tx>
            <c:v>VP from equation</c:v>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Sheet1!$AT$19:$AT$37</c:f>
              <c:numCache>
                <c:ptCount val="19"/>
                <c:pt idx="0">
                  <c:v>3.463736602074394</c:v>
                </c:pt>
                <c:pt idx="1">
                  <c:v>3.413736602074394</c:v>
                </c:pt>
                <c:pt idx="2">
                  <c:v>3.363736602074394</c:v>
                </c:pt>
                <c:pt idx="3">
                  <c:v>3.3137366020743944</c:v>
                </c:pt>
                <c:pt idx="4">
                  <c:v>3.2637366020743945</c:v>
                </c:pt>
                <c:pt idx="5">
                  <c:v>3.2137366020743947</c:v>
                </c:pt>
                <c:pt idx="6">
                  <c:v>3.163736602074395</c:v>
                </c:pt>
                <c:pt idx="7">
                  <c:v>3.113736602074395</c:v>
                </c:pt>
                <c:pt idx="8">
                  <c:v>3.0637366020743952</c:v>
                </c:pt>
                <c:pt idx="9">
                  <c:v>3.0137366020743954</c:v>
                </c:pt>
                <c:pt idx="10">
                  <c:v>2.9637366020743956</c:v>
                </c:pt>
                <c:pt idx="11">
                  <c:v>2.9137366020743958</c:v>
                </c:pt>
                <c:pt idx="12">
                  <c:v>2.863736602074396</c:v>
                </c:pt>
                <c:pt idx="13">
                  <c:v>2.813736602074396</c:v>
                </c:pt>
                <c:pt idx="14">
                  <c:v>2.7637366020743963</c:v>
                </c:pt>
                <c:pt idx="15">
                  <c:v>2.7137366020743965</c:v>
                </c:pt>
                <c:pt idx="16">
                  <c:v>2.6637366020743967</c:v>
                </c:pt>
                <c:pt idx="17">
                  <c:v>2.613736602074397</c:v>
                </c:pt>
                <c:pt idx="18">
                  <c:v>2.563736602074397</c:v>
                </c:pt>
              </c:numCache>
            </c:numRef>
          </c:xVal>
          <c:yVal>
            <c:numRef>
              <c:f>Sheet1!$AY$19:$AY$37</c:f>
              <c:numCache>
                <c:ptCount val="19"/>
                <c:pt idx="0">
                  <c:v>0.023075063870591758</c:v>
                </c:pt>
                <c:pt idx="1">
                  <c:v>0.029899382571096464</c:v>
                </c:pt>
                <c:pt idx="2">
                  <c:v>0.03870747374573592</c:v>
                </c:pt>
                <c:pt idx="3">
                  <c:v>0.05006598041395513</c:v>
                </c:pt>
                <c:pt idx="4">
                  <c:v>0.06470053745597272</c:v>
                </c:pt>
                <c:pt idx="5">
                  <c:v>0.08353957861603031</c:v>
                </c:pt>
                <c:pt idx="6">
                  <c:v>0.10776999201418921</c:v>
                </c:pt>
                <c:pt idx="7">
                  <c:v>0.13890776883927977</c:v>
                </c:pt>
                <c:pt idx="8">
                  <c:v>0.1788876085680827</c:v>
                </c:pt>
                <c:pt idx="9">
                  <c:v>0.23017647170107</c:v>
                </c:pt>
                <c:pt idx="10">
                  <c:v>0.2959173599019815</c:v>
                </c:pt>
                <c:pt idx="11">
                  <c:v>0.3801112186678887</c:v>
                </c:pt>
                <c:pt idx="12">
                  <c:v>0.4878468802156087</c:v>
                </c:pt>
                <c:pt idx="13">
                  <c:v>0.6255914948092719</c:v>
                </c:pt>
                <c:pt idx="14">
                  <c:v>0.8015570622994325</c:v>
                </c:pt>
                <c:pt idx="15">
                  <c:v>1.026162627364807</c:v>
                </c:pt>
                <c:pt idx="16">
                  <c:v>1.3126166342682526</c:v>
                </c:pt>
                <c:pt idx="17">
                  <c:v>1.677650088296593</c:v>
                </c:pt>
                <c:pt idx="18">
                  <c:v>2.1424388366717233</c:v>
                </c:pt>
              </c:numCache>
            </c:numRef>
          </c:yVal>
          <c:smooth val="1"/>
        </c:ser>
        <c:axId val="60112899"/>
        <c:axId val="4145180"/>
      </c:scatterChart>
      <c:valAx>
        <c:axId val="60112899"/>
        <c:scaling>
          <c:orientation val="maxMin"/>
        </c:scaling>
        <c:axPos val="b"/>
        <c:title>
          <c:tx>
            <c:rich>
              <a:bodyPr vert="horz" rot="0" anchor="ctr"/>
              <a:lstStyle/>
              <a:p>
                <a:pPr algn="ctr">
                  <a:defRPr/>
                </a:pPr>
                <a:r>
                  <a:rPr lang="en-US" cap="none" sz="800" b="1" i="0" u="none" baseline="0">
                    <a:latin typeface="Arial"/>
                    <a:ea typeface="Arial"/>
                    <a:cs typeface="Arial"/>
                  </a:rPr>
                  <a:t>Temperature expressed as 
1/Deg K*1000</a:t>
                </a:r>
              </a:p>
            </c:rich>
          </c:tx>
          <c:layout/>
          <c:overlay val="0"/>
          <c:spPr>
            <a:noFill/>
            <a:ln>
              <a:noFill/>
            </a:ln>
          </c:spPr>
        </c:title>
        <c:delete val="0"/>
        <c:numFmt formatCode="General" sourceLinked="1"/>
        <c:majorTickMark val="out"/>
        <c:minorTickMark val="none"/>
        <c:tickLblPos val="nextTo"/>
        <c:crossAx val="4145180"/>
        <c:crosses val="autoZero"/>
        <c:crossBetween val="midCat"/>
        <c:dispUnits/>
      </c:valAx>
      <c:valAx>
        <c:axId val="4145180"/>
        <c:scaling>
          <c:logBase val="10"/>
          <c:orientation val="minMax"/>
          <c:max val="100"/>
          <c:min val="0.001"/>
        </c:scaling>
        <c:axPos val="r"/>
        <c:title>
          <c:tx>
            <c:rich>
              <a:bodyPr vert="horz" rot="-5400000" anchor="ctr"/>
              <a:lstStyle/>
              <a:p>
                <a:pPr algn="ctr">
                  <a:defRPr/>
                </a:pPr>
                <a:r>
                  <a:rPr lang="en-US" cap="none" sz="800" b="1" i="0" u="none" baseline="0">
                    <a:latin typeface="Arial"/>
                    <a:ea typeface="Arial"/>
                    <a:cs typeface="Arial"/>
                  </a:rPr>
                  <a:t>Vapor Pressure-bars</a:t>
                </a:r>
              </a:p>
            </c:rich>
          </c:tx>
          <c:layout/>
          <c:overlay val="0"/>
          <c:spPr>
            <a:noFill/>
            <a:ln>
              <a:noFill/>
            </a:ln>
          </c:spPr>
        </c:title>
        <c:majorGridlines/>
        <c:delete val="0"/>
        <c:numFmt formatCode="General" sourceLinked="1"/>
        <c:majorTickMark val="out"/>
        <c:minorTickMark val="none"/>
        <c:tickLblPos val="nextTo"/>
        <c:crossAx val="601128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8"/>
          <c:order val="0"/>
          <c:tx>
            <c:strRef>
              <c:f>Sheet1!$BD$11</c:f>
              <c:strCache>
                <c:ptCount val="1"/>
                <c:pt idx="0">
                  <c:v>c3h8ppm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xVal>
            <c:numRef>
              <c:f>Sheet1!$BE$12:$BE$16</c:f>
              <c:numCache>
                <c:ptCount val="5"/>
                <c:pt idx="0">
                  <c:v>0</c:v>
                </c:pt>
                <c:pt idx="1">
                  <c:v>0</c:v>
                </c:pt>
                <c:pt idx="2">
                  <c:v>0</c:v>
                </c:pt>
                <c:pt idx="3">
                  <c:v>0</c:v>
                </c:pt>
                <c:pt idx="4">
                  <c:v>0</c:v>
                </c:pt>
              </c:numCache>
            </c:numRef>
          </c:xVal>
          <c:yVal>
            <c:numRef>
              <c:f>Sheet1!$BD$12:$BD$16</c:f>
              <c:numCache>
                <c:ptCount val="5"/>
                <c:pt idx="0">
                  <c:v>0</c:v>
                </c:pt>
                <c:pt idx="1">
                  <c:v>0</c:v>
                </c:pt>
                <c:pt idx="2">
                  <c:v>0</c:v>
                </c:pt>
                <c:pt idx="3">
                  <c:v>0</c:v>
                </c:pt>
                <c:pt idx="4">
                  <c:v>0</c:v>
                </c:pt>
              </c:numCache>
            </c:numRef>
          </c:yVal>
          <c:smooth val="0"/>
        </c:ser>
        <c:ser>
          <c:idx val="0"/>
          <c:order val="1"/>
          <c:tx>
            <c:v>Antoine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Sheet1!$BE$12:$BE$16</c:f>
              <c:numCache>
                <c:ptCount val="5"/>
                <c:pt idx="0">
                  <c:v>0</c:v>
                </c:pt>
                <c:pt idx="1">
                  <c:v>0</c:v>
                </c:pt>
                <c:pt idx="2">
                  <c:v>0</c:v>
                </c:pt>
                <c:pt idx="3">
                  <c:v>0</c:v>
                </c:pt>
                <c:pt idx="4">
                  <c:v>0</c:v>
                </c:pt>
              </c:numCache>
            </c:numRef>
          </c:xVal>
          <c:yVal>
            <c:numRef>
              <c:f>Sheet1!$BG$12:$BG$16</c:f>
              <c:numCache>
                <c:ptCount val="5"/>
                <c:pt idx="0">
                  <c:v>0</c:v>
                </c:pt>
                <c:pt idx="1">
                  <c:v>0</c:v>
                </c:pt>
                <c:pt idx="2">
                  <c:v>0</c:v>
                </c:pt>
                <c:pt idx="3">
                  <c:v>0</c:v>
                </c:pt>
                <c:pt idx="4">
                  <c:v>0</c:v>
                </c:pt>
              </c:numCache>
            </c:numRef>
          </c:yVal>
          <c:smooth val="0"/>
        </c:ser>
        <c:axId val="37306621"/>
        <c:axId val="215270"/>
      </c:scatterChart>
      <c:valAx>
        <c:axId val="37306621"/>
        <c:scaling>
          <c:orientation val="minMax"/>
        </c:scaling>
        <c:axPos val="b"/>
        <c:delete val="0"/>
        <c:numFmt formatCode="General" sourceLinked="1"/>
        <c:majorTickMark val="out"/>
        <c:minorTickMark val="none"/>
        <c:tickLblPos val="nextTo"/>
        <c:crossAx val="215270"/>
        <c:crosses val="autoZero"/>
        <c:crossBetween val="midCat"/>
        <c:dispUnits/>
      </c:valAx>
      <c:valAx>
        <c:axId val="215270"/>
        <c:scaling>
          <c:logBase val="10"/>
          <c:orientation val="minMax"/>
        </c:scaling>
        <c:axPos val="l"/>
        <c:majorGridlines/>
        <c:delete val="0"/>
        <c:numFmt formatCode="General" sourceLinked="1"/>
        <c:majorTickMark val="out"/>
        <c:minorTickMark val="none"/>
        <c:tickLblPos val="nextTo"/>
        <c:crossAx val="373066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full curve, based on curvefit of 1st 30% of data.</a:t>
            </a:r>
          </a:p>
        </c:rich>
      </c:tx>
      <c:layout/>
      <c:spPr>
        <a:noFill/>
        <a:ln>
          <a:noFill/>
        </a:ln>
      </c:spPr>
    </c:title>
    <c:plotArea>
      <c:layout>
        <c:manualLayout>
          <c:xMode val="edge"/>
          <c:yMode val="edge"/>
          <c:x val="0.02775"/>
          <c:y val="0.14775"/>
          <c:w val="0.88375"/>
          <c:h val="0.8177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'D2887 curve fit'!$C$17:$C$115</c:f>
              <c:numCache>
                <c:ptCount val="99"/>
                <c:pt idx="0">
                  <c:v>262.0015</c:v>
                </c:pt>
                <c:pt idx="1">
                  <c:v>274.683</c:v>
                </c:pt>
                <c:pt idx="2">
                  <c:v>283.986</c:v>
                </c:pt>
                <c:pt idx="3">
                  <c:v>295.6242</c:v>
                </c:pt>
                <c:pt idx="4">
                  <c:v>301.8929</c:v>
                </c:pt>
                <c:pt idx="5">
                  <c:v>310.949</c:v>
                </c:pt>
                <c:pt idx="6">
                  <c:v>315.1637</c:v>
                </c:pt>
                <c:pt idx="7">
                  <c:v>318.524</c:v>
                </c:pt>
                <c:pt idx="8">
                  <c:v>323.2087</c:v>
                </c:pt>
                <c:pt idx="9">
                  <c:v>326.1363</c:v>
                </c:pt>
                <c:pt idx="10">
                  <c:v>329.0339</c:v>
                </c:pt>
                <c:pt idx="11">
                  <c:v>331.0233</c:v>
                </c:pt>
                <c:pt idx="12">
                  <c:v>334.5376</c:v>
                </c:pt>
                <c:pt idx="13">
                  <c:v>339.6213</c:v>
                </c:pt>
                <c:pt idx="14">
                  <c:v>341.4859</c:v>
                </c:pt>
                <c:pt idx="15">
                  <c:v>342.7529</c:v>
                </c:pt>
                <c:pt idx="16">
                  <c:v>344.811</c:v>
                </c:pt>
                <c:pt idx="17">
                  <c:v>348.5454</c:v>
                </c:pt>
                <c:pt idx="18">
                  <c:v>351.303</c:v>
                </c:pt>
                <c:pt idx="19">
                  <c:v>353.2504</c:v>
                </c:pt>
                <c:pt idx="20">
                  <c:v>355.1418</c:v>
                </c:pt>
                <c:pt idx="21">
                  <c:v>356.6511</c:v>
                </c:pt>
                <c:pt idx="22">
                  <c:v>358.193</c:v>
                </c:pt>
                <c:pt idx="23">
                  <c:v>360.5838</c:v>
                </c:pt>
                <c:pt idx="24">
                  <c:v>363.6997</c:v>
                </c:pt>
                <c:pt idx="25">
                  <c:v>365.6819</c:v>
                </c:pt>
                <c:pt idx="26">
                  <c:v>367.0356</c:v>
                </c:pt>
                <c:pt idx="27">
                  <c:v>368.4235</c:v>
                </c:pt>
                <c:pt idx="28">
                  <c:v>370.1883</c:v>
                </c:pt>
                <c:pt idx="29">
                  <c:v>372.2758</c:v>
                </c:pt>
                <c:pt idx="30">
                  <c:v>374.5682</c:v>
                </c:pt>
                <c:pt idx="31">
                  <c:v>376.6769</c:v>
                </c:pt>
                <c:pt idx="32">
                  <c:v>378.968</c:v>
                </c:pt>
                <c:pt idx="33">
                  <c:v>380.822</c:v>
                </c:pt>
                <c:pt idx="34">
                  <c:v>382.0164</c:v>
                </c:pt>
                <c:pt idx="35">
                  <c:v>382.899</c:v>
                </c:pt>
                <c:pt idx="36">
                  <c:v>383.6997</c:v>
                </c:pt>
                <c:pt idx="37">
                  <c:v>384.8217</c:v>
                </c:pt>
                <c:pt idx="38">
                  <c:v>386.3677</c:v>
                </c:pt>
                <c:pt idx="39">
                  <c:v>388.2102</c:v>
                </c:pt>
                <c:pt idx="40">
                  <c:v>389.8105</c:v>
                </c:pt>
                <c:pt idx="41">
                  <c:v>391.1902</c:v>
                </c:pt>
                <c:pt idx="42">
                  <c:v>392.391</c:v>
                </c:pt>
                <c:pt idx="43">
                  <c:v>393.5501</c:v>
                </c:pt>
                <c:pt idx="44">
                  <c:v>394.9005</c:v>
                </c:pt>
                <c:pt idx="45">
                  <c:v>396.2839</c:v>
                </c:pt>
                <c:pt idx="46">
                  <c:v>397.8342</c:v>
                </c:pt>
                <c:pt idx="47">
                  <c:v>399.4755</c:v>
                </c:pt>
                <c:pt idx="48">
                  <c:v>401.5133</c:v>
                </c:pt>
                <c:pt idx="49">
                  <c:v>403.4594</c:v>
                </c:pt>
                <c:pt idx="50">
                  <c:v>404.8619</c:v>
                </c:pt>
                <c:pt idx="51">
                  <c:v>406.1731</c:v>
                </c:pt>
                <c:pt idx="52">
                  <c:v>407.6082</c:v>
                </c:pt>
                <c:pt idx="53">
                  <c:v>409.1034</c:v>
                </c:pt>
                <c:pt idx="54">
                  <c:v>411.0096</c:v>
                </c:pt>
                <c:pt idx="55">
                  <c:v>412.9649</c:v>
                </c:pt>
                <c:pt idx="56">
                  <c:v>414.791</c:v>
                </c:pt>
                <c:pt idx="57">
                  <c:v>417.1154</c:v>
                </c:pt>
                <c:pt idx="58">
                  <c:v>418.5391</c:v>
                </c:pt>
                <c:pt idx="59">
                  <c:v>419.6112</c:v>
                </c:pt>
                <c:pt idx="60">
                  <c:v>420.3239</c:v>
                </c:pt>
                <c:pt idx="61">
                  <c:v>421.39</c:v>
                </c:pt>
                <c:pt idx="62">
                  <c:v>423.2946</c:v>
                </c:pt>
                <c:pt idx="63">
                  <c:v>424.8923</c:v>
                </c:pt>
                <c:pt idx="64">
                  <c:v>426.3292</c:v>
                </c:pt>
                <c:pt idx="65">
                  <c:v>428.0909</c:v>
                </c:pt>
                <c:pt idx="66">
                  <c:v>429.7899</c:v>
                </c:pt>
                <c:pt idx="67">
                  <c:v>431.1392</c:v>
                </c:pt>
                <c:pt idx="68">
                  <c:v>433.0128</c:v>
                </c:pt>
                <c:pt idx="69">
                  <c:v>435.2912</c:v>
                </c:pt>
                <c:pt idx="70">
                  <c:v>437.0944</c:v>
                </c:pt>
                <c:pt idx="71">
                  <c:v>438.6541</c:v>
                </c:pt>
                <c:pt idx="72">
                  <c:v>440.4411</c:v>
                </c:pt>
                <c:pt idx="73">
                  <c:v>442.1996</c:v>
                </c:pt>
                <c:pt idx="74">
                  <c:v>443.8375</c:v>
                </c:pt>
                <c:pt idx="75">
                  <c:v>446.0404</c:v>
                </c:pt>
                <c:pt idx="76">
                  <c:v>448.5008</c:v>
                </c:pt>
                <c:pt idx="77">
                  <c:v>451.0778</c:v>
                </c:pt>
                <c:pt idx="78">
                  <c:v>452.6092</c:v>
                </c:pt>
                <c:pt idx="79">
                  <c:v>453.6671</c:v>
                </c:pt>
                <c:pt idx="80">
                  <c:v>455.1401</c:v>
                </c:pt>
                <c:pt idx="81">
                  <c:v>457.7271</c:v>
                </c:pt>
                <c:pt idx="82">
                  <c:v>460.441</c:v>
                </c:pt>
                <c:pt idx="83">
                  <c:v>464.0194</c:v>
                </c:pt>
                <c:pt idx="84">
                  <c:v>467.7794</c:v>
                </c:pt>
                <c:pt idx="85">
                  <c:v>471.1541</c:v>
                </c:pt>
                <c:pt idx="86">
                  <c:v>474.0804</c:v>
                </c:pt>
                <c:pt idx="87">
                  <c:v>477.4907</c:v>
                </c:pt>
                <c:pt idx="88">
                  <c:v>480.7399</c:v>
                </c:pt>
                <c:pt idx="89">
                  <c:v>484.8498</c:v>
                </c:pt>
                <c:pt idx="90">
                  <c:v>486.8281</c:v>
                </c:pt>
                <c:pt idx="91">
                  <c:v>490.2221</c:v>
                </c:pt>
                <c:pt idx="92">
                  <c:v>496.2655</c:v>
                </c:pt>
                <c:pt idx="93">
                  <c:v>502.366</c:v>
                </c:pt>
                <c:pt idx="94">
                  <c:v>507.6434</c:v>
                </c:pt>
                <c:pt idx="95">
                  <c:v>515.7538</c:v>
                </c:pt>
                <c:pt idx="96">
                  <c:v>521.6733</c:v>
                </c:pt>
                <c:pt idx="97">
                  <c:v>533.7936</c:v>
                </c:pt>
                <c:pt idx="98">
                  <c:v>551.4724</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0.001</c:v>
                </c:pt>
                <c:pt idx="1">
                  <c:v>0.01</c:v>
                </c:pt>
                <c:pt idx="2">
                  <c:v>0.1</c:v>
                </c:pt>
                <c:pt idx="3">
                  <c:v>0.2</c:v>
                </c:pt>
                <c:pt idx="4">
                  <c:v>0.3</c:v>
                </c:pt>
                <c:pt idx="5">
                  <c:v>0.4</c:v>
                </c:pt>
                <c:pt idx="6">
                  <c:v>0.5</c:v>
                </c:pt>
                <c:pt idx="7">
                  <c:v>0.6</c:v>
                </c:pt>
                <c:pt idx="8">
                  <c:v>0.7</c:v>
                </c:pt>
                <c:pt idx="9">
                  <c:v>0.8</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99.1</c:v>
                </c:pt>
                <c:pt idx="110">
                  <c:v>99.2</c:v>
                </c:pt>
                <c:pt idx="111">
                  <c:v>99.3</c:v>
                </c:pt>
                <c:pt idx="112">
                  <c:v>99.4</c:v>
                </c:pt>
                <c:pt idx="113">
                  <c:v>99.5</c:v>
                </c:pt>
                <c:pt idx="114">
                  <c:v>99.6</c:v>
                </c:pt>
                <c:pt idx="115">
                  <c:v>99.7</c:v>
                </c:pt>
                <c:pt idx="116">
                  <c:v>99.8000000000001</c:v>
                </c:pt>
                <c:pt idx="117">
                  <c:v>99.9000000000001</c:v>
                </c:pt>
                <c:pt idx="118">
                  <c:v>99.99</c:v>
                </c:pt>
                <c:pt idx="119">
                  <c:v>99.999</c:v>
                </c:pt>
              </c:numCache>
            </c:numRef>
          </c:xVal>
          <c:yVal>
            <c:numRef>
              <c:f>'D2887 curve fit'!$D$7:$D$126</c:f>
              <c:numCache>
                <c:ptCount val="120"/>
                <c:pt idx="0">
                  <c:v>140.1324741330704</c:v>
                </c:pt>
                <c:pt idx="1">
                  <c:v>174.01418123531894</c:v>
                </c:pt>
                <c:pt idx="2">
                  <c:v>213.0396846536952</c:v>
                </c:pt>
                <c:pt idx="3">
                  <c:v>226.2013432298799</c:v>
                </c:pt>
                <c:pt idx="4">
                  <c:v>234.2929842351846</c:v>
                </c:pt>
                <c:pt idx="5">
                  <c:v>240.2329717868077</c:v>
                </c:pt>
                <c:pt idx="6">
                  <c:v>244.9645332636846</c:v>
                </c:pt>
                <c:pt idx="7">
                  <c:v>248.91687037468387</c:v>
                </c:pt>
                <c:pt idx="8">
                  <c:v>252.3228117554039</c:v>
                </c:pt>
                <c:pt idx="9">
                  <c:v>255.32329828150094</c:v>
                </c:pt>
                <c:pt idx="10">
                  <c:v>260.44746636813613</c:v>
                </c:pt>
                <c:pt idx="11">
                  <c:v>277.36491924361076</c:v>
                </c:pt>
                <c:pt idx="12">
                  <c:v>288.0984534102039</c:v>
                </c:pt>
                <c:pt idx="13">
                  <c:v>296.1728651427444</c:v>
                </c:pt>
                <c:pt idx="14">
                  <c:v>302.74077719963486</c:v>
                </c:pt>
                <c:pt idx="15">
                  <c:v>308.33110522027454</c:v>
                </c:pt>
                <c:pt idx="16">
                  <c:v>313.23273290774944</c:v>
                </c:pt>
                <c:pt idx="17">
                  <c:v>317.6215591961624</c:v>
                </c:pt>
                <c:pt idx="18">
                  <c:v>321.6130239284755</c:v>
                </c:pt>
                <c:pt idx="19">
                  <c:v>325.2871760349078</c:v>
                </c:pt>
                <c:pt idx="20">
                  <c:v>328.7019187785525</c:v>
                </c:pt>
                <c:pt idx="21">
                  <c:v>331.9005634054972</c:v>
                </c:pt>
                <c:pt idx="22">
                  <c:v>334.9164015719587</c:v>
                </c:pt>
                <c:pt idx="23">
                  <c:v>337.77560910212515</c:v>
                </c:pt>
                <c:pt idx="24">
                  <c:v>340.49916425167476</c:v>
                </c:pt>
                <c:pt idx="25">
                  <c:v>343.1041575404113</c:v>
                </c:pt>
                <c:pt idx="26">
                  <c:v>345.60471165285895</c:v>
                </c:pt>
                <c:pt idx="27">
                  <c:v>348.0126433404565</c:v>
                </c:pt>
                <c:pt idx="28">
                  <c:v>350.3379498485135</c:v>
                </c:pt>
                <c:pt idx="29">
                  <c:v>352.5891730878425</c:v>
                </c:pt>
                <c:pt idx="30">
                  <c:v>354.7736768045006</c:v>
                </c:pt>
                <c:pt idx="31">
                  <c:v>356.89786065889643</c:v>
                </c:pt>
                <c:pt idx="32">
                  <c:v>358.96732777763935</c:v>
                </c:pt>
                <c:pt idx="33">
                  <c:v>360.987017470215</c:v>
                </c:pt>
                <c:pt idx="34">
                  <c:v>362.96131150556374</c:v>
                </c:pt>
                <c:pt idx="35">
                  <c:v>364.89412007005285</c:v>
                </c:pt>
                <c:pt idx="36">
                  <c:v>366.78895193366264</c:v>
                </c:pt>
                <c:pt idx="37">
                  <c:v>368.6489722152967</c:v>
                </c:pt>
                <c:pt idx="38">
                  <c:v>370.47705031747313</c:v>
                </c:pt>
                <c:pt idx="39">
                  <c:v>372.2758</c:v>
                </c:pt>
                <c:pt idx="40">
                  <c:v>374.0476131173199</c:v>
                </c:pt>
                <c:pt idx="41">
                  <c:v>375.79468821097674</c:v>
                </c:pt>
                <c:pt idx="42">
                  <c:v>377.51905489651006</c:v>
                </c:pt>
                <c:pt idx="43">
                  <c:v>379.2225947914732</c:v>
                </c:pt>
                <c:pt idx="44">
                  <c:v>380.90705958283587</c:v>
                </c:pt>
                <c:pt idx="45">
                  <c:v>382.5740867167078</c:v>
                </c:pt>
                <c:pt idx="46">
                  <c:v>384.22521310304194</c:v>
                </c:pt>
                <c:pt idx="47">
                  <c:v>385.86188715680635</c:v>
                </c:pt>
                <c:pt idx="48">
                  <c:v>387.48547944065996</c:v>
                </c:pt>
                <c:pt idx="49">
                  <c:v>389.09729212912134</c:v>
                </c:pt>
                <c:pt idx="50">
                  <c:v>390.69856747809877</c:v>
                </c:pt>
                <c:pt idx="51">
                  <c:v>392.29049545455734</c:v>
                </c:pt>
                <c:pt idx="52">
                  <c:v>393.8742206575954</c:v>
                </c:pt>
                <c:pt idx="53">
                  <c:v>395.45084864315714</c:v>
                </c:pt>
                <c:pt idx="54">
                  <c:v>397.02145174917774</c:v>
                </c:pt>
                <c:pt idx="55">
                  <c:v>398.587074505455</c:v>
                </c:pt>
                <c:pt idx="56">
                  <c:v>400.14873870245736</c:v>
                </c:pt>
                <c:pt idx="57">
                  <c:v>401.707448185197</c:v>
                </c:pt>
                <c:pt idx="58">
                  <c:v>403.2641934319117</c:v>
                </c:pt>
                <c:pt idx="59">
                  <c:v>404.8199560402709</c:v>
                </c:pt>
                <c:pt idx="60">
                  <c:v>406.3757185807191</c:v>
                </c:pt>
                <c:pt idx="61">
                  <c:v>407.9324638274338</c:v>
                </c:pt>
                <c:pt idx="62">
                  <c:v>409.49117331017345</c:v>
                </c:pt>
                <c:pt idx="63">
                  <c:v>411.0528375071758</c:v>
                </c:pt>
                <c:pt idx="64">
                  <c:v>412.6184602634531</c:v>
                </c:pt>
                <c:pt idx="65">
                  <c:v>414.1890633694737</c:v>
                </c:pt>
                <c:pt idx="66">
                  <c:v>415.76569135503536</c:v>
                </c:pt>
                <c:pt idx="67">
                  <c:v>417.3494165580734</c:v>
                </c:pt>
                <c:pt idx="68">
                  <c:v>418.94134453453205</c:v>
                </c:pt>
                <c:pt idx="69">
                  <c:v>420.5426198835095</c:v>
                </c:pt>
                <c:pt idx="70">
                  <c:v>422.15443257197086</c:v>
                </c:pt>
                <c:pt idx="71">
                  <c:v>423.77802485582447</c:v>
                </c:pt>
                <c:pt idx="72">
                  <c:v>425.4146989095889</c:v>
                </c:pt>
                <c:pt idx="73">
                  <c:v>427.065825295923</c:v>
                </c:pt>
                <c:pt idx="74">
                  <c:v>428.73285242979495</c:v>
                </c:pt>
                <c:pt idx="75">
                  <c:v>430.4173172211576</c:v>
                </c:pt>
                <c:pt idx="76">
                  <c:v>432.12085711612076</c:v>
                </c:pt>
                <c:pt idx="77">
                  <c:v>433.8452238016541</c:v>
                </c:pt>
                <c:pt idx="78">
                  <c:v>435.59229889531093</c:v>
                </c:pt>
                <c:pt idx="79">
                  <c:v>437.3641120126308</c:v>
                </c:pt>
                <c:pt idx="80">
                  <c:v>439.16286169515763</c:v>
                </c:pt>
                <c:pt idx="81">
                  <c:v>440.9909397973341</c:v>
                </c:pt>
                <c:pt idx="82">
                  <c:v>442.85096007896817</c:v>
                </c:pt>
                <c:pt idx="83">
                  <c:v>444.74579194257797</c:v>
                </c:pt>
                <c:pt idx="84">
                  <c:v>446.6786005070671</c:v>
                </c:pt>
                <c:pt idx="85">
                  <c:v>448.65289454241577</c:v>
                </c:pt>
                <c:pt idx="86">
                  <c:v>450.67258423499146</c:v>
                </c:pt>
                <c:pt idx="87">
                  <c:v>452.7420513537344</c:v>
                </c:pt>
                <c:pt idx="88">
                  <c:v>454.8662352081302</c:v>
                </c:pt>
                <c:pt idx="89">
                  <c:v>457.05073892478833</c:v>
                </c:pt>
                <c:pt idx="90">
                  <c:v>459.3019621641173</c:v>
                </c:pt>
                <c:pt idx="91">
                  <c:v>461.6272686721743</c:v>
                </c:pt>
                <c:pt idx="92">
                  <c:v>464.03520035977186</c:v>
                </c:pt>
                <c:pt idx="93">
                  <c:v>466.53575447221954</c:v>
                </c:pt>
                <c:pt idx="94">
                  <c:v>469.140747760956</c:v>
                </c:pt>
                <c:pt idx="95">
                  <c:v>471.86430291050567</c:v>
                </c:pt>
                <c:pt idx="96">
                  <c:v>474.72351044067204</c:v>
                </c:pt>
                <c:pt idx="97">
                  <c:v>477.73934860713354</c:v>
                </c:pt>
                <c:pt idx="98">
                  <c:v>480.9379932340783</c:v>
                </c:pt>
                <c:pt idx="99">
                  <c:v>484.352735977723</c:v>
                </c:pt>
                <c:pt idx="100">
                  <c:v>488.0268880841553</c:v>
                </c:pt>
                <c:pt idx="101">
                  <c:v>492.0183528164684</c:v>
                </c:pt>
                <c:pt idx="102">
                  <c:v>496.4071791048814</c:v>
                </c:pt>
                <c:pt idx="103">
                  <c:v>501.3088067923562</c:v>
                </c:pt>
                <c:pt idx="104">
                  <c:v>506.89913481299584</c:v>
                </c:pt>
                <c:pt idx="105">
                  <c:v>513.4670468698864</c:v>
                </c:pt>
                <c:pt idx="106">
                  <c:v>521.5414586024268</c:v>
                </c:pt>
                <c:pt idx="107">
                  <c:v>532.2749927690198</c:v>
                </c:pt>
                <c:pt idx="108">
                  <c:v>549.1924456444945</c:v>
                </c:pt>
                <c:pt idx="109">
                  <c:v>551.629564103498</c:v>
                </c:pt>
                <c:pt idx="110">
                  <c:v>554.3166137311296</c:v>
                </c:pt>
                <c:pt idx="111">
                  <c:v>557.3171002572265</c:v>
                </c:pt>
                <c:pt idx="112">
                  <c:v>560.723041637947</c:v>
                </c:pt>
                <c:pt idx="113">
                  <c:v>564.6753787489458</c:v>
                </c:pt>
                <c:pt idx="114">
                  <c:v>569.4069402258226</c:v>
                </c:pt>
                <c:pt idx="115">
                  <c:v>575.3469277774454</c:v>
                </c:pt>
                <c:pt idx="116">
                  <c:v>583.4385687827596</c:v>
                </c:pt>
                <c:pt idx="117">
                  <c:v>596.600227358952</c:v>
                </c:pt>
                <c:pt idx="118">
                  <c:v>635.6257307772944</c:v>
                </c:pt>
                <c:pt idx="119">
                  <c:v>669.5074378794066</c:v>
                </c:pt>
              </c:numCache>
            </c:numRef>
          </c:yVal>
          <c:smooth val="1"/>
        </c:ser>
        <c:axId val="1937431"/>
        <c:axId val="17436880"/>
      </c:scatterChart>
      <c:valAx>
        <c:axId val="1937431"/>
        <c:scaling>
          <c:orientation val="minMax"/>
          <c:max val="100"/>
          <c:min val="0"/>
        </c:scaling>
        <c:axPos val="b"/>
        <c:delete val="0"/>
        <c:numFmt formatCode="General" sourceLinked="1"/>
        <c:majorTickMark val="out"/>
        <c:minorTickMark val="none"/>
        <c:tickLblPos val="nextTo"/>
        <c:crossAx val="17436880"/>
        <c:crosses val="autoZero"/>
        <c:crossBetween val="midCat"/>
        <c:dispUnits/>
      </c:valAx>
      <c:valAx>
        <c:axId val="17436880"/>
        <c:scaling>
          <c:orientation val="minMax"/>
          <c:min val="100"/>
        </c:scaling>
        <c:axPos val="l"/>
        <c:majorGridlines/>
        <c:delete val="0"/>
        <c:numFmt formatCode="General" sourceLinked="1"/>
        <c:majorTickMark val="out"/>
        <c:minorTickMark val="none"/>
        <c:tickLblPos val="nextTo"/>
        <c:crossAx val="1937431"/>
        <c:crosses val="autoZero"/>
        <c:crossBetween val="midCat"/>
        <c:dispUnits/>
      </c:valAx>
      <c:spPr>
        <a:solidFill>
          <a:srgbClr val="C0C0C0"/>
        </a:solidFill>
        <a:ln w="12700">
          <a:solidFill>
            <a:srgbClr val="808080"/>
          </a:solidFill>
        </a:ln>
      </c:spPr>
    </c:plotArea>
    <c:legend>
      <c:legendPos val="r"/>
      <c:layout>
        <c:manualLayout>
          <c:xMode val="edge"/>
          <c:yMode val="edge"/>
          <c:x val="0.21975"/>
          <c:y val="0.2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curve fit to 1st 30% of data</a:t>
            </a:r>
          </a:p>
        </c:rich>
      </c:tx>
      <c:layout/>
      <c:spPr>
        <a:noFill/>
        <a:ln>
          <a:noFill/>
        </a:ln>
      </c:spPr>
    </c:title>
    <c:plotArea>
      <c:layout>
        <c:manualLayout>
          <c:xMode val="edge"/>
          <c:yMode val="edge"/>
          <c:x val="0.0275"/>
          <c:y val="0.14825"/>
          <c:w val="0.88375"/>
          <c:h val="0.8162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xVal>
          <c:yVal>
            <c:numRef>
              <c:f>'D2887 curve fit'!$C$17:$C$115</c:f>
              <c:numCache>
                <c:ptCount val="99"/>
                <c:pt idx="0">
                  <c:v>262.0015</c:v>
                </c:pt>
                <c:pt idx="1">
                  <c:v>274.683</c:v>
                </c:pt>
                <c:pt idx="2">
                  <c:v>283.986</c:v>
                </c:pt>
                <c:pt idx="3">
                  <c:v>295.6242</c:v>
                </c:pt>
                <c:pt idx="4">
                  <c:v>301.8929</c:v>
                </c:pt>
                <c:pt idx="5">
                  <c:v>310.949</c:v>
                </c:pt>
                <c:pt idx="6">
                  <c:v>315.1637</c:v>
                </c:pt>
                <c:pt idx="7">
                  <c:v>318.524</c:v>
                </c:pt>
                <c:pt idx="8">
                  <c:v>323.2087</c:v>
                </c:pt>
                <c:pt idx="9">
                  <c:v>326.1363</c:v>
                </c:pt>
                <c:pt idx="10">
                  <c:v>329.0339</c:v>
                </c:pt>
                <c:pt idx="11">
                  <c:v>331.0233</c:v>
                </c:pt>
                <c:pt idx="12">
                  <c:v>334.5376</c:v>
                </c:pt>
                <c:pt idx="13">
                  <c:v>339.6213</c:v>
                </c:pt>
                <c:pt idx="14">
                  <c:v>341.4859</c:v>
                </c:pt>
                <c:pt idx="15">
                  <c:v>342.7529</c:v>
                </c:pt>
                <c:pt idx="16">
                  <c:v>344.811</c:v>
                </c:pt>
                <c:pt idx="17">
                  <c:v>348.5454</c:v>
                </c:pt>
                <c:pt idx="18">
                  <c:v>351.303</c:v>
                </c:pt>
                <c:pt idx="19">
                  <c:v>353.2504</c:v>
                </c:pt>
                <c:pt idx="20">
                  <c:v>355.1418</c:v>
                </c:pt>
                <c:pt idx="21">
                  <c:v>356.6511</c:v>
                </c:pt>
                <c:pt idx="22">
                  <c:v>358.193</c:v>
                </c:pt>
                <c:pt idx="23">
                  <c:v>360.5838</c:v>
                </c:pt>
                <c:pt idx="24">
                  <c:v>363.6997</c:v>
                </c:pt>
                <c:pt idx="25">
                  <c:v>365.6819</c:v>
                </c:pt>
                <c:pt idx="26">
                  <c:v>367.0356</c:v>
                </c:pt>
                <c:pt idx="27">
                  <c:v>368.4235</c:v>
                </c:pt>
                <c:pt idx="28">
                  <c:v>370.1883</c:v>
                </c:pt>
                <c:pt idx="29">
                  <c:v>372.2758</c:v>
                </c:pt>
                <c:pt idx="30">
                  <c:v>374.5682</c:v>
                </c:pt>
                <c:pt idx="31">
                  <c:v>376.6769</c:v>
                </c:pt>
                <c:pt idx="32">
                  <c:v>378.968</c:v>
                </c:pt>
                <c:pt idx="33">
                  <c:v>380.822</c:v>
                </c:pt>
                <c:pt idx="34">
                  <c:v>382.0164</c:v>
                </c:pt>
                <c:pt idx="35">
                  <c:v>382.899</c:v>
                </c:pt>
                <c:pt idx="36">
                  <c:v>383.6997</c:v>
                </c:pt>
                <c:pt idx="37">
                  <c:v>384.8217</c:v>
                </c:pt>
                <c:pt idx="38">
                  <c:v>386.3677</c:v>
                </c:pt>
                <c:pt idx="39">
                  <c:v>388.2102</c:v>
                </c:pt>
                <c:pt idx="40">
                  <c:v>389.8105</c:v>
                </c:pt>
                <c:pt idx="41">
                  <c:v>391.1902</c:v>
                </c:pt>
                <c:pt idx="42">
                  <c:v>392.391</c:v>
                </c:pt>
                <c:pt idx="43">
                  <c:v>393.5501</c:v>
                </c:pt>
                <c:pt idx="44">
                  <c:v>394.9005</c:v>
                </c:pt>
                <c:pt idx="45">
                  <c:v>396.2839</c:v>
                </c:pt>
                <c:pt idx="46">
                  <c:v>397.8342</c:v>
                </c:pt>
                <c:pt idx="47">
                  <c:v>399.4755</c:v>
                </c:pt>
                <c:pt idx="48">
                  <c:v>401.5133</c:v>
                </c:pt>
                <c:pt idx="49">
                  <c:v>403.4594</c:v>
                </c:pt>
                <c:pt idx="50">
                  <c:v>404.8619</c:v>
                </c:pt>
                <c:pt idx="51">
                  <c:v>406.1731</c:v>
                </c:pt>
                <c:pt idx="52">
                  <c:v>407.6082</c:v>
                </c:pt>
                <c:pt idx="53">
                  <c:v>409.1034</c:v>
                </c:pt>
                <c:pt idx="54">
                  <c:v>411.0096</c:v>
                </c:pt>
                <c:pt idx="55">
                  <c:v>412.9649</c:v>
                </c:pt>
                <c:pt idx="56">
                  <c:v>414.791</c:v>
                </c:pt>
                <c:pt idx="57">
                  <c:v>417.1154</c:v>
                </c:pt>
                <c:pt idx="58">
                  <c:v>418.5391</c:v>
                </c:pt>
                <c:pt idx="59">
                  <c:v>419.6112</c:v>
                </c:pt>
                <c:pt idx="60">
                  <c:v>420.3239</c:v>
                </c:pt>
                <c:pt idx="61">
                  <c:v>421.39</c:v>
                </c:pt>
                <c:pt idx="62">
                  <c:v>423.2946</c:v>
                </c:pt>
                <c:pt idx="63">
                  <c:v>424.8923</c:v>
                </c:pt>
                <c:pt idx="64">
                  <c:v>426.3292</c:v>
                </c:pt>
                <c:pt idx="65">
                  <c:v>428.0909</c:v>
                </c:pt>
                <c:pt idx="66">
                  <c:v>429.7899</c:v>
                </c:pt>
                <c:pt idx="67">
                  <c:v>431.1392</c:v>
                </c:pt>
                <c:pt idx="68">
                  <c:v>433.0128</c:v>
                </c:pt>
                <c:pt idx="69">
                  <c:v>435.2912</c:v>
                </c:pt>
                <c:pt idx="70">
                  <c:v>437.0944</c:v>
                </c:pt>
                <c:pt idx="71">
                  <c:v>438.6541</c:v>
                </c:pt>
                <c:pt idx="72">
                  <c:v>440.4411</c:v>
                </c:pt>
                <c:pt idx="73">
                  <c:v>442.1996</c:v>
                </c:pt>
                <c:pt idx="74">
                  <c:v>443.8375</c:v>
                </c:pt>
                <c:pt idx="75">
                  <c:v>446.0404</c:v>
                </c:pt>
                <c:pt idx="76">
                  <c:v>448.5008</c:v>
                </c:pt>
                <c:pt idx="77">
                  <c:v>451.0778</c:v>
                </c:pt>
                <c:pt idx="78">
                  <c:v>452.6092</c:v>
                </c:pt>
                <c:pt idx="79">
                  <c:v>453.6671</c:v>
                </c:pt>
                <c:pt idx="80">
                  <c:v>455.1401</c:v>
                </c:pt>
                <c:pt idx="81">
                  <c:v>457.7271</c:v>
                </c:pt>
                <c:pt idx="82">
                  <c:v>460.441</c:v>
                </c:pt>
                <c:pt idx="83">
                  <c:v>464.0194</c:v>
                </c:pt>
                <c:pt idx="84">
                  <c:v>467.7794</c:v>
                </c:pt>
                <c:pt idx="85">
                  <c:v>471.1541</c:v>
                </c:pt>
                <c:pt idx="86">
                  <c:v>474.0804</c:v>
                </c:pt>
                <c:pt idx="87">
                  <c:v>477.4907</c:v>
                </c:pt>
                <c:pt idx="88">
                  <c:v>480.7399</c:v>
                </c:pt>
                <c:pt idx="89">
                  <c:v>484.8498</c:v>
                </c:pt>
                <c:pt idx="90">
                  <c:v>486.8281</c:v>
                </c:pt>
                <c:pt idx="91">
                  <c:v>490.2221</c:v>
                </c:pt>
                <c:pt idx="92">
                  <c:v>496.2655</c:v>
                </c:pt>
                <c:pt idx="93">
                  <c:v>502.366</c:v>
                </c:pt>
                <c:pt idx="94">
                  <c:v>507.6434</c:v>
                </c:pt>
                <c:pt idx="95">
                  <c:v>515.7538</c:v>
                </c:pt>
                <c:pt idx="96">
                  <c:v>521.6733</c:v>
                </c:pt>
                <c:pt idx="97">
                  <c:v>533.7936</c:v>
                </c:pt>
                <c:pt idx="98">
                  <c:v>551.4724</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0.001</c:v>
                </c:pt>
                <c:pt idx="1">
                  <c:v>0.01</c:v>
                </c:pt>
                <c:pt idx="2">
                  <c:v>0.1</c:v>
                </c:pt>
                <c:pt idx="3">
                  <c:v>0.2</c:v>
                </c:pt>
                <c:pt idx="4">
                  <c:v>0.3</c:v>
                </c:pt>
                <c:pt idx="5">
                  <c:v>0.4</c:v>
                </c:pt>
                <c:pt idx="6">
                  <c:v>0.5</c:v>
                </c:pt>
                <c:pt idx="7">
                  <c:v>0.6</c:v>
                </c:pt>
                <c:pt idx="8">
                  <c:v>0.7</c:v>
                </c:pt>
                <c:pt idx="9">
                  <c:v>0.8</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pt idx="53">
                  <c:v>44</c:v>
                </c:pt>
                <c:pt idx="54">
                  <c:v>45</c:v>
                </c:pt>
                <c:pt idx="55">
                  <c:v>46</c:v>
                </c:pt>
                <c:pt idx="56">
                  <c:v>47</c:v>
                </c:pt>
                <c:pt idx="57">
                  <c:v>48</c:v>
                </c:pt>
                <c:pt idx="58">
                  <c:v>49</c:v>
                </c:pt>
                <c:pt idx="59">
                  <c:v>50</c:v>
                </c:pt>
                <c:pt idx="60">
                  <c:v>51</c:v>
                </c:pt>
                <c:pt idx="61">
                  <c:v>52</c:v>
                </c:pt>
                <c:pt idx="62">
                  <c:v>53</c:v>
                </c:pt>
                <c:pt idx="63">
                  <c:v>54</c:v>
                </c:pt>
                <c:pt idx="64">
                  <c:v>55</c:v>
                </c:pt>
                <c:pt idx="65">
                  <c:v>56</c:v>
                </c:pt>
                <c:pt idx="66">
                  <c:v>57</c:v>
                </c:pt>
                <c:pt idx="67">
                  <c:v>58</c:v>
                </c:pt>
                <c:pt idx="68">
                  <c:v>59</c:v>
                </c:pt>
                <c:pt idx="69">
                  <c:v>60</c:v>
                </c:pt>
                <c:pt idx="70">
                  <c:v>61</c:v>
                </c:pt>
                <c:pt idx="71">
                  <c:v>62</c:v>
                </c:pt>
                <c:pt idx="72">
                  <c:v>63</c:v>
                </c:pt>
                <c:pt idx="73">
                  <c:v>64</c:v>
                </c:pt>
                <c:pt idx="74">
                  <c:v>65</c:v>
                </c:pt>
                <c:pt idx="75">
                  <c:v>66</c:v>
                </c:pt>
                <c:pt idx="76">
                  <c:v>67</c:v>
                </c:pt>
                <c:pt idx="77">
                  <c:v>68</c:v>
                </c:pt>
                <c:pt idx="78">
                  <c:v>69</c:v>
                </c:pt>
                <c:pt idx="79">
                  <c:v>70</c:v>
                </c:pt>
                <c:pt idx="80">
                  <c:v>71</c:v>
                </c:pt>
                <c:pt idx="81">
                  <c:v>72</c:v>
                </c:pt>
                <c:pt idx="82">
                  <c:v>73</c:v>
                </c:pt>
                <c:pt idx="83">
                  <c:v>74</c:v>
                </c:pt>
                <c:pt idx="84">
                  <c:v>75</c:v>
                </c:pt>
                <c:pt idx="85">
                  <c:v>76</c:v>
                </c:pt>
                <c:pt idx="86">
                  <c:v>77</c:v>
                </c:pt>
                <c:pt idx="87">
                  <c:v>78</c:v>
                </c:pt>
                <c:pt idx="88">
                  <c:v>79</c:v>
                </c:pt>
                <c:pt idx="89">
                  <c:v>80</c:v>
                </c:pt>
                <c:pt idx="90">
                  <c:v>81</c:v>
                </c:pt>
                <c:pt idx="91">
                  <c:v>82</c:v>
                </c:pt>
                <c:pt idx="92">
                  <c:v>83</c:v>
                </c:pt>
                <c:pt idx="93">
                  <c:v>84</c:v>
                </c:pt>
                <c:pt idx="94">
                  <c:v>85</c:v>
                </c:pt>
                <c:pt idx="95">
                  <c:v>86</c:v>
                </c:pt>
                <c:pt idx="96">
                  <c:v>87</c:v>
                </c:pt>
                <c:pt idx="97">
                  <c:v>88</c:v>
                </c:pt>
                <c:pt idx="98">
                  <c:v>89</c:v>
                </c:pt>
                <c:pt idx="99">
                  <c:v>90</c:v>
                </c:pt>
                <c:pt idx="100">
                  <c:v>91</c:v>
                </c:pt>
                <c:pt idx="101">
                  <c:v>92</c:v>
                </c:pt>
                <c:pt idx="102">
                  <c:v>93</c:v>
                </c:pt>
                <c:pt idx="103">
                  <c:v>94</c:v>
                </c:pt>
                <c:pt idx="104">
                  <c:v>95</c:v>
                </c:pt>
                <c:pt idx="105">
                  <c:v>96</c:v>
                </c:pt>
                <c:pt idx="106">
                  <c:v>97</c:v>
                </c:pt>
                <c:pt idx="107">
                  <c:v>98</c:v>
                </c:pt>
                <c:pt idx="108">
                  <c:v>99</c:v>
                </c:pt>
                <c:pt idx="109">
                  <c:v>99.1</c:v>
                </c:pt>
                <c:pt idx="110">
                  <c:v>99.2</c:v>
                </c:pt>
                <c:pt idx="111">
                  <c:v>99.3</c:v>
                </c:pt>
                <c:pt idx="112">
                  <c:v>99.4</c:v>
                </c:pt>
                <c:pt idx="113">
                  <c:v>99.5</c:v>
                </c:pt>
                <c:pt idx="114">
                  <c:v>99.6</c:v>
                </c:pt>
                <c:pt idx="115">
                  <c:v>99.7</c:v>
                </c:pt>
                <c:pt idx="116">
                  <c:v>99.8000000000001</c:v>
                </c:pt>
                <c:pt idx="117">
                  <c:v>99.9000000000001</c:v>
                </c:pt>
                <c:pt idx="118">
                  <c:v>99.99</c:v>
                </c:pt>
                <c:pt idx="119">
                  <c:v>99.999</c:v>
                </c:pt>
              </c:numCache>
            </c:numRef>
          </c:xVal>
          <c:yVal>
            <c:numRef>
              <c:f>'D2887 curve fit'!$D$7:$D$126</c:f>
              <c:numCache>
                <c:ptCount val="120"/>
                <c:pt idx="0">
                  <c:v>140.1324741330704</c:v>
                </c:pt>
                <c:pt idx="1">
                  <c:v>174.01418123531894</c:v>
                </c:pt>
                <c:pt idx="2">
                  <c:v>213.0396846536952</c:v>
                </c:pt>
                <c:pt idx="3">
                  <c:v>226.2013432298799</c:v>
                </c:pt>
                <c:pt idx="4">
                  <c:v>234.2929842351846</c:v>
                </c:pt>
                <c:pt idx="5">
                  <c:v>240.2329717868077</c:v>
                </c:pt>
                <c:pt idx="6">
                  <c:v>244.9645332636846</c:v>
                </c:pt>
                <c:pt idx="7">
                  <c:v>248.91687037468387</c:v>
                </c:pt>
                <c:pt idx="8">
                  <c:v>252.3228117554039</c:v>
                </c:pt>
                <c:pt idx="9">
                  <c:v>255.32329828150094</c:v>
                </c:pt>
                <c:pt idx="10">
                  <c:v>260.44746636813613</c:v>
                </c:pt>
                <c:pt idx="11">
                  <c:v>277.36491924361076</c:v>
                </c:pt>
                <c:pt idx="12">
                  <c:v>288.0984534102039</c:v>
                </c:pt>
                <c:pt idx="13">
                  <c:v>296.1728651427444</c:v>
                </c:pt>
                <c:pt idx="14">
                  <c:v>302.74077719963486</c:v>
                </c:pt>
                <c:pt idx="15">
                  <c:v>308.33110522027454</c:v>
                </c:pt>
                <c:pt idx="16">
                  <c:v>313.23273290774944</c:v>
                </c:pt>
                <c:pt idx="17">
                  <c:v>317.6215591961624</c:v>
                </c:pt>
                <c:pt idx="18">
                  <c:v>321.6130239284755</c:v>
                </c:pt>
                <c:pt idx="19">
                  <c:v>325.2871760349078</c:v>
                </c:pt>
                <c:pt idx="20">
                  <c:v>328.7019187785525</c:v>
                </c:pt>
                <c:pt idx="21">
                  <c:v>331.9005634054972</c:v>
                </c:pt>
                <c:pt idx="22">
                  <c:v>334.9164015719587</c:v>
                </c:pt>
                <c:pt idx="23">
                  <c:v>337.77560910212515</c:v>
                </c:pt>
                <c:pt idx="24">
                  <c:v>340.49916425167476</c:v>
                </c:pt>
                <c:pt idx="25">
                  <c:v>343.1041575404113</c:v>
                </c:pt>
                <c:pt idx="26">
                  <c:v>345.60471165285895</c:v>
                </c:pt>
                <c:pt idx="27">
                  <c:v>348.0126433404565</c:v>
                </c:pt>
                <c:pt idx="28">
                  <c:v>350.3379498485135</c:v>
                </c:pt>
                <c:pt idx="29">
                  <c:v>352.5891730878425</c:v>
                </c:pt>
                <c:pt idx="30">
                  <c:v>354.7736768045006</c:v>
                </c:pt>
                <c:pt idx="31">
                  <c:v>356.89786065889643</c:v>
                </c:pt>
                <c:pt idx="32">
                  <c:v>358.96732777763935</c:v>
                </c:pt>
                <c:pt idx="33">
                  <c:v>360.987017470215</c:v>
                </c:pt>
                <c:pt idx="34">
                  <c:v>362.96131150556374</c:v>
                </c:pt>
                <c:pt idx="35">
                  <c:v>364.89412007005285</c:v>
                </c:pt>
                <c:pt idx="36">
                  <c:v>366.78895193366264</c:v>
                </c:pt>
                <c:pt idx="37">
                  <c:v>368.6489722152967</c:v>
                </c:pt>
                <c:pt idx="38">
                  <c:v>370.47705031747313</c:v>
                </c:pt>
                <c:pt idx="39">
                  <c:v>372.2758</c:v>
                </c:pt>
                <c:pt idx="40">
                  <c:v>374.0476131173199</c:v>
                </c:pt>
                <c:pt idx="41">
                  <c:v>375.79468821097674</c:v>
                </c:pt>
                <c:pt idx="42">
                  <c:v>377.51905489651006</c:v>
                </c:pt>
                <c:pt idx="43">
                  <c:v>379.2225947914732</c:v>
                </c:pt>
                <c:pt idx="44">
                  <c:v>380.90705958283587</c:v>
                </c:pt>
                <c:pt idx="45">
                  <c:v>382.5740867167078</c:v>
                </c:pt>
                <c:pt idx="46">
                  <c:v>384.22521310304194</c:v>
                </c:pt>
                <c:pt idx="47">
                  <c:v>385.86188715680635</c:v>
                </c:pt>
                <c:pt idx="48">
                  <c:v>387.48547944065996</c:v>
                </c:pt>
                <c:pt idx="49">
                  <c:v>389.09729212912134</c:v>
                </c:pt>
                <c:pt idx="50">
                  <c:v>390.69856747809877</c:v>
                </c:pt>
                <c:pt idx="51">
                  <c:v>392.29049545455734</c:v>
                </c:pt>
                <c:pt idx="52">
                  <c:v>393.8742206575954</c:v>
                </c:pt>
                <c:pt idx="53">
                  <c:v>395.45084864315714</c:v>
                </c:pt>
                <c:pt idx="54">
                  <c:v>397.02145174917774</c:v>
                </c:pt>
                <c:pt idx="55">
                  <c:v>398.587074505455</c:v>
                </c:pt>
                <c:pt idx="56">
                  <c:v>400.14873870245736</c:v>
                </c:pt>
                <c:pt idx="57">
                  <c:v>401.707448185197</c:v>
                </c:pt>
                <c:pt idx="58">
                  <c:v>403.2641934319117</c:v>
                </c:pt>
                <c:pt idx="59">
                  <c:v>404.8199560402709</c:v>
                </c:pt>
                <c:pt idx="60">
                  <c:v>406.3757185807191</c:v>
                </c:pt>
                <c:pt idx="61">
                  <c:v>407.9324638274338</c:v>
                </c:pt>
                <c:pt idx="62">
                  <c:v>409.49117331017345</c:v>
                </c:pt>
                <c:pt idx="63">
                  <c:v>411.0528375071758</c:v>
                </c:pt>
                <c:pt idx="64">
                  <c:v>412.6184602634531</c:v>
                </c:pt>
                <c:pt idx="65">
                  <c:v>414.1890633694737</c:v>
                </c:pt>
                <c:pt idx="66">
                  <c:v>415.76569135503536</c:v>
                </c:pt>
                <c:pt idx="67">
                  <c:v>417.3494165580734</c:v>
                </c:pt>
                <c:pt idx="68">
                  <c:v>418.94134453453205</c:v>
                </c:pt>
                <c:pt idx="69">
                  <c:v>420.5426198835095</c:v>
                </c:pt>
                <c:pt idx="70">
                  <c:v>422.15443257197086</c:v>
                </c:pt>
                <c:pt idx="71">
                  <c:v>423.77802485582447</c:v>
                </c:pt>
                <c:pt idx="72">
                  <c:v>425.4146989095889</c:v>
                </c:pt>
                <c:pt idx="73">
                  <c:v>427.065825295923</c:v>
                </c:pt>
                <c:pt idx="74">
                  <c:v>428.73285242979495</c:v>
                </c:pt>
                <c:pt idx="75">
                  <c:v>430.4173172211576</c:v>
                </c:pt>
                <c:pt idx="76">
                  <c:v>432.12085711612076</c:v>
                </c:pt>
                <c:pt idx="77">
                  <c:v>433.8452238016541</c:v>
                </c:pt>
                <c:pt idx="78">
                  <c:v>435.59229889531093</c:v>
                </c:pt>
                <c:pt idx="79">
                  <c:v>437.3641120126308</c:v>
                </c:pt>
                <c:pt idx="80">
                  <c:v>439.16286169515763</c:v>
                </c:pt>
                <c:pt idx="81">
                  <c:v>440.9909397973341</c:v>
                </c:pt>
                <c:pt idx="82">
                  <c:v>442.85096007896817</c:v>
                </c:pt>
                <c:pt idx="83">
                  <c:v>444.74579194257797</c:v>
                </c:pt>
                <c:pt idx="84">
                  <c:v>446.6786005070671</c:v>
                </c:pt>
                <c:pt idx="85">
                  <c:v>448.65289454241577</c:v>
                </c:pt>
                <c:pt idx="86">
                  <c:v>450.67258423499146</c:v>
                </c:pt>
                <c:pt idx="87">
                  <c:v>452.7420513537344</c:v>
                </c:pt>
                <c:pt idx="88">
                  <c:v>454.8662352081302</c:v>
                </c:pt>
                <c:pt idx="89">
                  <c:v>457.05073892478833</c:v>
                </c:pt>
                <c:pt idx="90">
                  <c:v>459.3019621641173</c:v>
                </c:pt>
                <c:pt idx="91">
                  <c:v>461.6272686721743</c:v>
                </c:pt>
                <c:pt idx="92">
                  <c:v>464.03520035977186</c:v>
                </c:pt>
                <c:pt idx="93">
                  <c:v>466.53575447221954</c:v>
                </c:pt>
                <c:pt idx="94">
                  <c:v>469.140747760956</c:v>
                </c:pt>
                <c:pt idx="95">
                  <c:v>471.86430291050567</c:v>
                </c:pt>
                <c:pt idx="96">
                  <c:v>474.72351044067204</c:v>
                </c:pt>
                <c:pt idx="97">
                  <c:v>477.73934860713354</c:v>
                </c:pt>
                <c:pt idx="98">
                  <c:v>480.9379932340783</c:v>
                </c:pt>
                <c:pt idx="99">
                  <c:v>484.352735977723</c:v>
                </c:pt>
                <c:pt idx="100">
                  <c:v>488.0268880841553</c:v>
                </c:pt>
                <c:pt idx="101">
                  <c:v>492.0183528164684</c:v>
                </c:pt>
                <c:pt idx="102">
                  <c:v>496.4071791048814</c:v>
                </c:pt>
                <c:pt idx="103">
                  <c:v>501.3088067923562</c:v>
                </c:pt>
                <c:pt idx="104">
                  <c:v>506.89913481299584</c:v>
                </c:pt>
                <c:pt idx="105">
                  <c:v>513.4670468698864</c:v>
                </c:pt>
                <c:pt idx="106">
                  <c:v>521.5414586024268</c:v>
                </c:pt>
                <c:pt idx="107">
                  <c:v>532.2749927690198</c:v>
                </c:pt>
                <c:pt idx="108">
                  <c:v>549.1924456444945</c:v>
                </c:pt>
                <c:pt idx="109">
                  <c:v>551.629564103498</c:v>
                </c:pt>
                <c:pt idx="110">
                  <c:v>554.3166137311296</c:v>
                </c:pt>
                <c:pt idx="111">
                  <c:v>557.3171002572265</c:v>
                </c:pt>
                <c:pt idx="112">
                  <c:v>560.723041637947</c:v>
                </c:pt>
                <c:pt idx="113">
                  <c:v>564.6753787489458</c:v>
                </c:pt>
                <c:pt idx="114">
                  <c:v>569.4069402258226</c:v>
                </c:pt>
                <c:pt idx="115">
                  <c:v>575.3469277774454</c:v>
                </c:pt>
                <c:pt idx="116">
                  <c:v>583.4385687827596</c:v>
                </c:pt>
                <c:pt idx="117">
                  <c:v>596.600227358952</c:v>
                </c:pt>
                <c:pt idx="118">
                  <c:v>635.6257307772944</c:v>
                </c:pt>
                <c:pt idx="119">
                  <c:v>669.5074378794066</c:v>
                </c:pt>
              </c:numCache>
            </c:numRef>
          </c:yVal>
          <c:smooth val="1"/>
        </c:ser>
        <c:axId val="22714193"/>
        <c:axId val="3101146"/>
      </c:scatterChart>
      <c:valAx>
        <c:axId val="22714193"/>
        <c:scaling>
          <c:orientation val="minMax"/>
          <c:max val="30"/>
          <c:min val="0"/>
        </c:scaling>
        <c:axPos val="b"/>
        <c:delete val="0"/>
        <c:numFmt formatCode="General" sourceLinked="1"/>
        <c:majorTickMark val="out"/>
        <c:minorTickMark val="none"/>
        <c:tickLblPos val="nextTo"/>
        <c:crossAx val="3101146"/>
        <c:crosses val="autoZero"/>
        <c:crossBetween val="midCat"/>
        <c:dispUnits/>
        <c:majorUnit val="5"/>
        <c:minorUnit val="1"/>
      </c:valAx>
      <c:valAx>
        <c:axId val="3101146"/>
        <c:scaling>
          <c:orientation val="minMax"/>
          <c:max val="400"/>
          <c:min val="100"/>
        </c:scaling>
        <c:axPos val="l"/>
        <c:majorGridlines/>
        <c:delete val="0"/>
        <c:numFmt formatCode="General" sourceLinked="1"/>
        <c:majorTickMark val="out"/>
        <c:minorTickMark val="none"/>
        <c:tickLblPos val="nextTo"/>
        <c:crossAx val="22714193"/>
        <c:crosses val="autoZero"/>
        <c:crossBetween val="midCat"/>
        <c:dispUnits/>
      </c:valAx>
      <c:spPr>
        <a:solidFill>
          <a:srgbClr val="C0C0C0"/>
        </a:solidFill>
        <a:ln w="12700">
          <a:solidFill>
            <a:srgbClr val="808080"/>
          </a:solidFill>
        </a:ln>
      </c:spPr>
    </c:plotArea>
    <c:legend>
      <c:legendPos val="r"/>
      <c:layout>
        <c:manualLayout>
          <c:xMode val="edge"/>
          <c:yMode val="edge"/>
          <c:x val="0.2135"/>
          <c:y val="0.207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Carbon Content in Fuel 
</a:t>
            </a:r>
          </a:p>
        </c:rich>
      </c:tx>
      <c:layout/>
      <c:spPr>
        <a:noFill/>
        <a:ln>
          <a:noFill/>
        </a:ln>
      </c:spPr>
    </c:title>
    <c:plotArea>
      <c:layout>
        <c:manualLayout>
          <c:xMode val="edge"/>
          <c:yMode val="edge"/>
          <c:x val="0.03775"/>
          <c:y val="0.146"/>
          <c:w val="0.7895"/>
          <c:h val="0.804"/>
        </c:manualLayout>
      </c:layout>
      <c:barChart>
        <c:barDir val="col"/>
        <c:grouping val="clustered"/>
        <c:varyColors val="0"/>
        <c:ser>
          <c:idx val="6"/>
          <c:order val="0"/>
          <c:tx>
            <c:v>Vapor</c:v>
          </c:tx>
          <c:spPr>
            <a:pattFill prst="dkHorz">
              <a:fgClr>
                <a:srgbClr val="0066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Sheet1!$Y$12:$Y$30</c:f>
              <c:numCache>
                <c:ptCount val="19"/>
                <c:pt idx="0">
                  <c:v>0</c:v>
                </c:pt>
                <c:pt idx="1">
                  <c:v>5.807085410304709E-07</c:v>
                </c:pt>
                <c:pt idx="2">
                  <c:v>0.001071051368339938</c:v>
                </c:pt>
                <c:pt idx="3">
                  <c:v>0.11014216310185043</c:v>
                </c:pt>
                <c:pt idx="4">
                  <c:v>2.1553297003039256</c:v>
                </c:pt>
                <c:pt idx="5">
                  <c:v>12.604811891417206</c:v>
                </c:pt>
                <c:pt idx="6">
                  <c:v>26.28494936544265</c:v>
                </c:pt>
                <c:pt idx="7">
                  <c:v>29.39410020848175</c:v>
                </c:pt>
                <c:pt idx="8">
                  <c:v>18.382228096596968</c:v>
                </c:pt>
                <c:pt idx="9">
                  <c:v>7.920512655836143</c:v>
                </c:pt>
                <c:pt idx="10">
                  <c:v>2.4895935545344856</c:v>
                </c:pt>
                <c:pt idx="11">
                  <c:v>0.5380205046650427</c:v>
                </c:pt>
                <c:pt idx="12">
                  <c:v>0.10146645754706352</c:v>
                </c:pt>
                <c:pt idx="13">
                  <c:v>0.016165030524795197</c:v>
                </c:pt>
                <c:pt idx="14">
                  <c:v>0.002097777634620619</c:v>
                </c:pt>
                <c:pt idx="15">
                  <c:v>-8.492940233955E-05</c:v>
                </c:pt>
                <c:pt idx="16">
                  <c:v>-0.00027496056678413735</c:v>
                </c:pt>
                <c:pt idx="17">
                  <c:v>-9.842000036561549E-05</c:v>
                </c:pt>
                <c:pt idx="18">
                  <c:v>-3.072819388280361E-05</c:v>
                </c:pt>
              </c:numCache>
            </c:numRef>
          </c:val>
        </c:ser>
        <c:ser>
          <c:idx val="7"/>
          <c:order val="1"/>
          <c:tx>
            <c:v>Liquid</c:v>
          </c:tx>
          <c:spPr>
            <a:solidFill>
              <a:srgbClr val="FF0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'Input form'!$N$5:$N$23</c:f>
              <c:numCache>
                <c:ptCount val="19"/>
                <c:pt idx="0">
                  <c:v>0</c:v>
                </c:pt>
                <c:pt idx="1">
                  <c:v>1.1513012765362873E-11</c:v>
                </c:pt>
                <c:pt idx="2">
                  <c:v>8.73241146059911E-08</c:v>
                </c:pt>
                <c:pt idx="3">
                  <c:v>4.1379914750283575E-05</c:v>
                </c:pt>
                <c:pt idx="4">
                  <c:v>0.003389608783410658</c:v>
                </c:pt>
                <c:pt idx="5">
                  <c:v>0.0803076603082098</c:v>
                </c:pt>
                <c:pt idx="6">
                  <c:v>0.6689264210857582</c:v>
                </c:pt>
                <c:pt idx="7">
                  <c:v>2.9862980751348633</c:v>
                </c:pt>
                <c:pt idx="8">
                  <c:v>7.5737677235073075</c:v>
                </c:pt>
                <c:pt idx="9">
                  <c:v>13.495751572644888</c:v>
                </c:pt>
                <c:pt idx="10">
                  <c:v>17.781416769836778</c:v>
                </c:pt>
                <c:pt idx="11">
                  <c:v>17.247570047560814</c:v>
                </c:pt>
                <c:pt idx="12">
                  <c:v>14.641387663520923</c:v>
                </c:pt>
                <c:pt idx="13">
                  <c:v>11.2977980778034</c:v>
                </c:pt>
                <c:pt idx="14">
                  <c:v>7.388990794331274</c:v>
                </c:pt>
                <c:pt idx="15">
                  <c:v>4.05382293749984</c:v>
                </c:pt>
                <c:pt idx="16">
                  <c:v>1.8410409931962857</c:v>
                </c:pt>
                <c:pt idx="17">
                  <c:v>0.6589863315409228</c:v>
                </c:pt>
                <c:pt idx="18">
                  <c:v>0.20574537377040514</c:v>
                </c:pt>
              </c:numCache>
            </c:numRef>
          </c:val>
        </c:ser>
        <c:axId val="27910315"/>
        <c:axId val="49866244"/>
      </c:barChart>
      <c:catAx>
        <c:axId val="27910315"/>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49866244"/>
        <c:crosses val="autoZero"/>
        <c:auto val="1"/>
        <c:lblOffset val="100"/>
        <c:noMultiLvlLbl val="0"/>
      </c:catAx>
      <c:valAx>
        <c:axId val="49866244"/>
        <c:scaling>
          <c:orientation val="minMax"/>
        </c:scaling>
        <c:axPos val="l"/>
        <c:title>
          <c:tx>
            <c:rich>
              <a:bodyPr vert="horz" rot="-5400000" anchor="ctr"/>
              <a:lstStyle/>
              <a:p>
                <a:pPr algn="ctr">
                  <a:defRPr/>
                </a:pPr>
                <a:r>
                  <a:rPr lang="en-US" cap="none" sz="2000" b="1" i="0" u="none" baseline="0">
                    <a:latin typeface="Arial"/>
                    <a:ea typeface="Arial"/>
                    <a:cs typeface="Arial"/>
                  </a:rPr>
                  <a:t>% (by weight)
</a:t>
                </a:r>
              </a:p>
            </c:rich>
          </c:tx>
          <c:layout>
            <c:manualLayout>
              <c:xMode val="factor"/>
              <c:yMode val="factor"/>
              <c:x val="0.01725"/>
              <c:y val="0.0037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27910315"/>
        <c:crossesAt val="1"/>
        <c:crossBetween val="between"/>
        <c:dispUnits/>
      </c:valAx>
      <c:spPr>
        <a:noFill/>
        <a:ln w="12700">
          <a:solidFill>
            <a:srgbClr val="808080"/>
          </a:solidFill>
        </a:ln>
      </c:spPr>
    </c:plotArea>
    <c:legend>
      <c:legendPos val="r"/>
      <c:layout>
        <c:manualLayout>
          <c:xMode val="edge"/>
          <c:yMode val="edge"/>
          <c:x val="0.83925"/>
          <c:y val="0.42075"/>
          <c:w val="0.1395"/>
          <c:h val="0.220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ASTM D2887 Distillation Curves</a:t>
            </a:r>
          </a:p>
        </c:rich>
      </c:tx>
      <c:layout/>
      <c:spPr>
        <a:noFill/>
        <a:ln>
          <a:noFill/>
        </a:ln>
      </c:spPr>
    </c:title>
    <c:plotArea>
      <c:layout/>
      <c:scatterChart>
        <c:scatterStyle val="smoothMarker"/>
        <c:varyColors val="0"/>
        <c:ser>
          <c:idx val="4"/>
          <c:order val="0"/>
          <c:tx>
            <c:v>JP 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'Input form'!$AX$41:$AX$59</c:f>
              <c:numCache>
                <c:ptCount val="19"/>
                <c:pt idx="0">
                  <c:v>0</c:v>
                </c:pt>
                <c:pt idx="1">
                  <c:v>1.4432899320127035E-13</c:v>
                </c:pt>
                <c:pt idx="2">
                  <c:v>2.8919977523855778E-09</c:v>
                </c:pt>
                <c:pt idx="3">
                  <c:v>2.9101568932432542E-06</c:v>
                </c:pt>
                <c:pt idx="4">
                  <c:v>0.0004337457297665104</c:v>
                </c:pt>
                <c:pt idx="5">
                  <c:v>0.016944665393747727</c:v>
                </c:pt>
                <c:pt idx="6">
                  <c:v>0.21841284425270224</c:v>
                </c:pt>
                <c:pt idx="7">
                  <c:v>1.4590936583807945</c:v>
                </c:pt>
                <c:pt idx="8">
                  <c:v>5.5728824434119755</c:v>
                </c:pt>
                <c:pt idx="9">
                  <c:v>14.781583572800571</c:v>
                </c:pt>
                <c:pt idx="10">
                  <c:v>29.56502080708605</c:v>
                </c:pt>
                <c:pt idx="11">
                  <c:v>46.510890123581206</c:v>
                </c:pt>
                <c:pt idx="12">
                  <c:v>63.08296713342598</c:v>
                </c:pt>
                <c:pt idx="13">
                  <c:v>77.60418393698654</c:v>
                </c:pt>
                <c:pt idx="14">
                  <c:v>88.29089656891097</c:v>
                </c:pt>
                <c:pt idx="15">
                  <c:v>94.82999815864892</c:v>
                </c:pt>
                <c:pt idx="16">
                  <c:v>98.11266313917987</c:v>
                </c:pt>
                <c:pt idx="17">
                  <c:v>99.39735414525374</c:v>
                </c:pt>
                <c:pt idx="18">
                  <c:v>99.82995384018774</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3"/>
          <c:order val="1"/>
          <c:tx>
            <c:v>Jet A /JP 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'Input form'!$AR$41:$AR$59</c:f>
              <c:numCache>
                <c:ptCount val="19"/>
                <c:pt idx="0">
                  <c:v>0</c:v>
                </c:pt>
                <c:pt idx="1">
                  <c:v>3.552713678800501E-12</c:v>
                </c:pt>
                <c:pt idx="2">
                  <c:v>4.24451140901283E-08</c:v>
                </c:pt>
                <c:pt idx="3">
                  <c:v>2.7145025116581678E-05</c:v>
                </c:pt>
                <c:pt idx="4">
                  <c:v>0.002741337797129706</c:v>
                </c:pt>
                <c:pt idx="5">
                  <c:v>0.07627561766306856</c:v>
                </c:pt>
                <c:pt idx="6">
                  <c:v>0.7416521103309481</c:v>
                </c:pt>
                <c:pt idx="7">
                  <c:v>3.859955692712602</c:v>
                </c:pt>
                <c:pt idx="8">
                  <c:v>11.943239261793847</c:v>
                </c:pt>
                <c:pt idx="9">
                  <c:v>26.36930625073328</c:v>
                </c:pt>
                <c:pt idx="10">
                  <c:v>45.10114251161881</c:v>
                </c:pt>
                <c:pt idx="11">
                  <c:v>62.78919759722959</c:v>
                </c:pt>
                <c:pt idx="12">
                  <c:v>77.27391934624933</c:v>
                </c:pt>
                <c:pt idx="13">
                  <c:v>87.95497642467002</c:v>
                </c:pt>
                <c:pt idx="14">
                  <c:v>94.55879958268551</c:v>
                </c:pt>
                <c:pt idx="15">
                  <c:v>97.94458743683344</c:v>
                </c:pt>
                <c:pt idx="16">
                  <c:v>99.36386481320977</c:v>
                </c:pt>
                <c:pt idx="17">
                  <c:v>99.8274540208134</c:v>
                </c:pt>
                <c:pt idx="18">
                  <c:v>99.95852919420103</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1"/>
          <c:order val="2"/>
          <c:tx>
            <c:v>TS-1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'Input form'!$AL$41:$AL$59</c:f>
              <c:numCache>
                <c:ptCount val="19"/>
                <c:pt idx="0">
                  <c:v>1.1102230246251565E-14</c:v>
                </c:pt>
                <c:pt idx="1">
                  <c:v>2.1153079288183108E-09</c:v>
                </c:pt>
                <c:pt idx="2">
                  <c:v>5.6371848300429406E-06</c:v>
                </c:pt>
                <c:pt idx="3">
                  <c:v>0.0011713453985984223</c:v>
                </c:pt>
                <c:pt idx="4">
                  <c:v>0.04903701382032999</c:v>
                </c:pt>
                <c:pt idx="5">
                  <c:v>0.6759073486238942</c:v>
                </c:pt>
                <c:pt idx="6">
                  <c:v>3.8464133746705986</c:v>
                </c:pt>
                <c:pt idx="7">
                  <c:v>12.943573585171709</c:v>
                </c:pt>
                <c:pt idx="8">
                  <c:v>28.579230979864022</c:v>
                </c:pt>
                <c:pt idx="9">
                  <c:v>48.246349430653204</c:v>
                </c:pt>
                <c:pt idx="10">
                  <c:v>67.0926107023899</c:v>
                </c:pt>
                <c:pt idx="11">
                  <c:v>80.84035079871839</c:v>
                </c:pt>
                <c:pt idx="12">
                  <c:v>89.88540627009581</c:v>
                </c:pt>
                <c:pt idx="13">
                  <c:v>95.36329291263426</c:v>
                </c:pt>
                <c:pt idx="14">
                  <c:v>98.18212766409653</c:v>
                </c:pt>
                <c:pt idx="15">
                  <c:v>99.4005598889579</c:v>
                </c:pt>
                <c:pt idx="16">
                  <c:v>99.83676921600065</c:v>
                </c:pt>
                <c:pt idx="17">
                  <c:v>99.96039316695928</c:v>
                </c:pt>
                <c:pt idx="18">
                  <c:v>99.99134728866899</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2"/>
          <c:order val="3"/>
          <c:tx>
            <c:v>Jet B/JP4</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'Input form'!$AF$41:$AF$59</c:f>
              <c:numCache>
                <c:ptCount val="19"/>
                <c:pt idx="0">
                  <c:v>1.7158861331800779E-06</c:v>
                </c:pt>
                <c:pt idx="1">
                  <c:v>0.0010405286328007968</c:v>
                </c:pt>
                <c:pt idx="2">
                  <c:v>0.051811119067224354</c:v>
                </c:pt>
                <c:pt idx="3">
                  <c:v>0.6797280434054365</c:v>
                </c:pt>
                <c:pt idx="4">
                  <c:v>3.899717188001628</c:v>
                </c:pt>
                <c:pt idx="5">
                  <c:v>12.751920201459232</c:v>
                </c:pt>
                <c:pt idx="6">
                  <c:v>27.14170321351417</c:v>
                </c:pt>
                <c:pt idx="7">
                  <c:v>45.01901983721245</c:v>
                </c:pt>
                <c:pt idx="8">
                  <c:v>61.808549586671745</c:v>
                </c:pt>
                <c:pt idx="9">
                  <c:v>75.6367745218513</c:v>
                </c:pt>
                <c:pt idx="10">
                  <c:v>85.59277519471713</c:v>
                </c:pt>
                <c:pt idx="11">
                  <c:v>91.7241632518703</c:v>
                </c:pt>
                <c:pt idx="12">
                  <c:v>95.46064102636741</c:v>
                </c:pt>
                <c:pt idx="13">
                  <c:v>97.7146591658829</c:v>
                </c:pt>
                <c:pt idx="14">
                  <c:v>98.95336568496518</c:v>
                </c:pt>
                <c:pt idx="15">
                  <c:v>99.56827984016003</c:v>
                </c:pt>
                <c:pt idx="16">
                  <c:v>99.84135479799858</c:v>
                </c:pt>
                <c:pt idx="17">
                  <c:v>99.94491412585609</c:v>
                </c:pt>
                <c:pt idx="18">
                  <c:v>99.98182907817912</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0"/>
          <c:order val="4"/>
          <c:tx>
            <c:v>Avgas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'Input form'!$Z$41:$Z$59</c:f>
              <c:numCache>
                <c:ptCount val="19"/>
                <c:pt idx="0">
                  <c:v>4.665023922711953E-09</c:v>
                </c:pt>
                <c:pt idx="1">
                  <c:v>0.00016936609120721258</c:v>
                </c:pt>
                <c:pt idx="2">
                  <c:v>0.06194267669665798</c:v>
                </c:pt>
                <c:pt idx="3">
                  <c:v>2.018042493875438</c:v>
                </c:pt>
                <c:pt idx="4">
                  <c:v>15.241580635967056</c:v>
                </c:pt>
                <c:pt idx="5">
                  <c:v>45.22561303720375</c:v>
                </c:pt>
                <c:pt idx="6">
                  <c:v>74.17998644958104</c:v>
                </c:pt>
                <c:pt idx="7">
                  <c:v>91.15791825064488</c:v>
                </c:pt>
                <c:pt idx="8">
                  <c:v>97.54893286260497</c:v>
                </c:pt>
                <c:pt idx="9">
                  <c:v>99.44675537982387</c:v>
                </c:pt>
                <c:pt idx="10">
                  <c:v>99.89444602355731</c:v>
                </c:pt>
                <c:pt idx="11">
                  <c:v>99.98038674502364</c:v>
                </c:pt>
                <c:pt idx="12">
                  <c:v>99.99665716772883</c:v>
                </c:pt>
                <c:pt idx="13">
                  <c:v>99.99953432646599</c:v>
                </c:pt>
                <c:pt idx="14">
                  <c:v>99.9999480325767</c:v>
                </c:pt>
                <c:pt idx="15">
                  <c:v>99.9999954565392</c:v>
                </c:pt>
                <c:pt idx="16">
                  <c:v>99.99999969627454</c:v>
                </c:pt>
                <c:pt idx="17">
                  <c:v>99.99999998177339</c:v>
                </c:pt>
                <c:pt idx="18">
                  <c:v>99.9999999990066</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46143013"/>
        <c:axId val="12633934"/>
      </c:scatterChart>
      <c:valAx>
        <c:axId val="46143013"/>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Percent Distilled</a:t>
                </a:r>
              </a:p>
            </c:rich>
          </c:tx>
          <c:layout/>
          <c:overlay val="0"/>
          <c:spPr>
            <a:noFill/>
            <a:ln>
              <a:noFill/>
            </a:ln>
          </c:spPr>
        </c:title>
        <c:majorGridlines>
          <c:spPr>
            <a:ln w="12700">
              <a:solidFill/>
            </a:ln>
          </c:spPr>
        </c:majorGridlines>
        <c:delete val="0"/>
        <c:numFmt formatCode="General" sourceLinked="1"/>
        <c:majorTickMark val="out"/>
        <c:minorTickMark val="none"/>
        <c:tickLblPos val="nextTo"/>
        <c:spPr>
          <a:ln w="25400">
            <a:solidFill/>
          </a:ln>
        </c:spPr>
        <c:crossAx val="12633934"/>
        <c:crosses val="autoZero"/>
        <c:crossBetween val="midCat"/>
        <c:dispUnits/>
        <c:majorUnit val="10"/>
        <c:minorUnit val="5"/>
      </c:valAx>
      <c:valAx>
        <c:axId val="12633934"/>
        <c:scaling>
          <c:orientation val="minMax"/>
          <c:min val="0"/>
        </c:scaling>
        <c:axPos val="l"/>
        <c:title>
          <c:tx>
            <c:rich>
              <a:bodyPr vert="horz" rot="-5400000" anchor="ctr"/>
              <a:lstStyle/>
              <a:p>
                <a:pPr algn="ctr">
                  <a:defRPr/>
                </a:pPr>
                <a:r>
                  <a:rPr lang="en-US" cap="none" sz="925" b="1" i="0" u="none" baseline="0">
                    <a:latin typeface="Arial"/>
                    <a:ea typeface="Arial"/>
                    <a:cs typeface="Arial"/>
                  </a:rPr>
                  <a:t>Temperature Deg F</a:t>
                </a:r>
              </a:p>
            </c:rich>
          </c:tx>
          <c:layout/>
          <c:overlay val="0"/>
          <c:spPr>
            <a:noFill/>
            <a:ln>
              <a:noFill/>
            </a:ln>
          </c:spPr>
        </c:title>
        <c:majorGridlines>
          <c:spPr>
            <a:ln w="25400">
              <a:solidFill/>
            </a:ln>
          </c:spPr>
        </c:majorGridlines>
        <c:minorGridlines>
          <c:spPr>
            <a:ln w="3175">
              <a:solidFill/>
              <a:prstDash val="sysDot"/>
            </a:ln>
          </c:spPr>
        </c:minorGridlines>
        <c:delete val="0"/>
        <c:numFmt formatCode="General" sourceLinked="1"/>
        <c:majorTickMark val="out"/>
        <c:minorTickMark val="none"/>
        <c:tickLblPos val="nextTo"/>
        <c:spPr>
          <a:ln w="25400">
            <a:solidFill/>
          </a:ln>
        </c:spPr>
        <c:crossAx val="46143013"/>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latin typeface="Arial"/>
                <a:ea typeface="Arial"/>
                <a:cs typeface="Arial"/>
              </a:rPr>
              <a:t>Distribution of Carbon for each Fuel</a:t>
            </a:r>
          </a:p>
        </c:rich>
      </c:tx>
      <c:layout/>
      <c:spPr>
        <a:noFill/>
        <a:ln>
          <a:noFill/>
        </a:ln>
      </c:spPr>
    </c:title>
    <c:plotArea>
      <c:layout>
        <c:manualLayout>
          <c:xMode val="edge"/>
          <c:yMode val="edge"/>
          <c:x val="0.03925"/>
          <c:y val="0.15575"/>
          <c:w val="0.83925"/>
          <c:h val="0.78575"/>
        </c:manualLayout>
      </c:layout>
      <c:scatterChart>
        <c:scatterStyle val="smooth"/>
        <c:varyColors val="0"/>
        <c:ser>
          <c:idx val="0"/>
          <c:order val="0"/>
          <c:tx>
            <c:v>Avgas</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form'!$Z$5:$Z$23</c:f>
              <c:numCache>
                <c:ptCount val="19"/>
                <c:pt idx="0">
                  <c:v>4.665023922711953E-09</c:v>
                </c:pt>
                <c:pt idx="1">
                  <c:v>0.00016936142618328986</c:v>
                </c:pt>
                <c:pt idx="2">
                  <c:v>0.06177331060545077</c:v>
                </c:pt>
                <c:pt idx="3">
                  <c:v>1.9560998171787802</c:v>
                </c:pt>
                <c:pt idx="4">
                  <c:v>13.223538142091618</c:v>
                </c:pt>
                <c:pt idx="5">
                  <c:v>29.984032401236693</c:v>
                </c:pt>
                <c:pt idx="6">
                  <c:v>28.954373412377286</c:v>
                </c:pt>
                <c:pt idx="7">
                  <c:v>16.97793180106385</c:v>
                </c:pt>
                <c:pt idx="8">
                  <c:v>6.3910146119600775</c:v>
                </c:pt>
                <c:pt idx="9">
                  <c:v>1.8978225172189056</c:v>
                </c:pt>
                <c:pt idx="10">
                  <c:v>0.4476906437334338</c:v>
                </c:pt>
                <c:pt idx="11">
                  <c:v>0.08594072146632659</c:v>
                </c:pt>
                <c:pt idx="12">
                  <c:v>0.016270422705200183</c:v>
                </c:pt>
                <c:pt idx="13">
                  <c:v>0.002877158737157881</c:v>
                </c:pt>
                <c:pt idx="14">
                  <c:v>0.00041370611070234986</c:v>
                </c:pt>
                <c:pt idx="15">
                  <c:v>4.7423962501458305E-05</c:v>
                </c:pt>
                <c:pt idx="16">
                  <c:v>4.239735351685425E-06</c:v>
                </c:pt>
                <c:pt idx="17">
                  <c:v>2.8549883568373957E-07</c:v>
                </c:pt>
                <c:pt idx="18">
                  <c:v>1.7233225957369314E-08</c:v>
                </c:pt>
              </c:numCache>
            </c:numRef>
          </c:yVal>
          <c:smooth val="1"/>
        </c:ser>
        <c:ser>
          <c:idx val="1"/>
          <c:order val="1"/>
          <c:tx>
            <c:v>JP 4</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form'!$AF$5:$AF$23</c:f>
              <c:numCache>
                <c:ptCount val="19"/>
                <c:pt idx="0">
                  <c:v>1.7158861331800779E-06</c:v>
                </c:pt>
                <c:pt idx="1">
                  <c:v>0.0010388127466676167</c:v>
                </c:pt>
                <c:pt idx="2">
                  <c:v>0.05077059043442356</c:v>
                </c:pt>
                <c:pt idx="3">
                  <c:v>0.6279169243382121</c:v>
                </c:pt>
                <c:pt idx="4">
                  <c:v>3.2199891445961915</c:v>
                </c:pt>
                <c:pt idx="5">
                  <c:v>8.852203013457604</c:v>
                </c:pt>
                <c:pt idx="6">
                  <c:v>14.389783012054934</c:v>
                </c:pt>
                <c:pt idx="7">
                  <c:v>17.87731662369828</c:v>
                </c:pt>
                <c:pt idx="8">
                  <c:v>16.789529749459298</c:v>
                </c:pt>
                <c:pt idx="9">
                  <c:v>13.828224935179545</c:v>
                </c:pt>
                <c:pt idx="10">
                  <c:v>9.956000672865839</c:v>
                </c:pt>
                <c:pt idx="11">
                  <c:v>6.131388057153164</c:v>
                </c:pt>
                <c:pt idx="12">
                  <c:v>3.7364777744971156</c:v>
                </c:pt>
                <c:pt idx="13">
                  <c:v>2.25401813951549</c:v>
                </c:pt>
                <c:pt idx="14">
                  <c:v>1.2387065190822777</c:v>
                </c:pt>
                <c:pt idx="15">
                  <c:v>0.6149141551948567</c:v>
                </c:pt>
                <c:pt idx="16">
                  <c:v>0.2730749578385483</c:v>
                </c:pt>
                <c:pt idx="17">
                  <c:v>0.10355932785750532</c:v>
                </c:pt>
                <c:pt idx="18">
                  <c:v>0.03691495232303055</c:v>
                </c:pt>
              </c:numCache>
            </c:numRef>
          </c:yVal>
          <c:smooth val="1"/>
        </c:ser>
        <c:ser>
          <c:idx val="2"/>
          <c:order val="2"/>
          <c:tx>
            <c:v>TS 1</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form'!$AL$5:$AL$23</c:f>
              <c:numCache>
                <c:ptCount val="19"/>
                <c:pt idx="0">
                  <c:v>1.1102230246251565E-14</c:v>
                </c:pt>
                <c:pt idx="1">
                  <c:v>2.1152968265880645E-09</c:v>
                </c:pt>
                <c:pt idx="2">
                  <c:v>5.635069522114122E-06</c:v>
                </c:pt>
                <c:pt idx="3">
                  <c:v>0.0011657082137683794</c:v>
                </c:pt>
                <c:pt idx="4">
                  <c:v>0.047865668421731566</c:v>
                </c:pt>
                <c:pt idx="5">
                  <c:v>0.6268703348035642</c:v>
                </c:pt>
                <c:pt idx="6">
                  <c:v>3.1705060260467044</c:v>
                </c:pt>
                <c:pt idx="7">
                  <c:v>9.097160210501109</c:v>
                </c:pt>
                <c:pt idx="8">
                  <c:v>15.635657394692315</c:v>
                </c:pt>
                <c:pt idx="9">
                  <c:v>19.66711845078918</c:v>
                </c:pt>
                <c:pt idx="10">
                  <c:v>18.846261271736697</c:v>
                </c:pt>
                <c:pt idx="11">
                  <c:v>13.747740096328487</c:v>
                </c:pt>
                <c:pt idx="12">
                  <c:v>9.045055471377427</c:v>
                </c:pt>
                <c:pt idx="13">
                  <c:v>5.477886642538454</c:v>
                </c:pt>
                <c:pt idx="14">
                  <c:v>2.8188347514622625</c:v>
                </c:pt>
                <c:pt idx="15">
                  <c:v>1.2184322248613655</c:v>
                </c:pt>
                <c:pt idx="16">
                  <c:v>0.43620932704275805</c:v>
                </c:pt>
                <c:pt idx="17">
                  <c:v>0.12362395095862899</c:v>
                </c:pt>
                <c:pt idx="18">
                  <c:v>0.03095412170970313</c:v>
                </c:pt>
              </c:numCache>
            </c:numRef>
          </c:yVal>
          <c:smooth val="1"/>
        </c:ser>
        <c:ser>
          <c:idx val="3"/>
          <c:order val="3"/>
          <c:tx>
            <c:v>Jet A/JP 8</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form'!$AR$5:$AR$23</c:f>
              <c:numCache>
                <c:ptCount val="19"/>
                <c:pt idx="0">
                  <c:v>0</c:v>
                </c:pt>
                <c:pt idx="1">
                  <c:v>3.552713678800501E-12</c:v>
                </c:pt>
                <c:pt idx="2">
                  <c:v>4.24415613764495E-08</c:v>
                </c:pt>
                <c:pt idx="3">
                  <c:v>2.710258000249155E-05</c:v>
                </c:pt>
                <c:pt idx="4">
                  <c:v>0.0027141927720131243</c:v>
                </c:pt>
                <c:pt idx="5">
                  <c:v>0.07353427986593886</c:v>
                </c:pt>
                <c:pt idx="6">
                  <c:v>0.6653764926678796</c:v>
                </c:pt>
                <c:pt idx="7">
                  <c:v>3.118303582381654</c:v>
                </c:pt>
                <c:pt idx="8">
                  <c:v>8.083283569081246</c:v>
                </c:pt>
                <c:pt idx="9">
                  <c:v>14.426066988939434</c:v>
                </c:pt>
                <c:pt idx="10">
                  <c:v>18.731836260885526</c:v>
                </c:pt>
                <c:pt idx="11">
                  <c:v>17.688055085610777</c:v>
                </c:pt>
                <c:pt idx="12">
                  <c:v>14.484721749019746</c:v>
                </c:pt>
                <c:pt idx="13">
                  <c:v>10.681057078420697</c:v>
                </c:pt>
                <c:pt idx="14">
                  <c:v>6.603823158015487</c:v>
                </c:pt>
                <c:pt idx="15">
                  <c:v>3.385787854147926</c:v>
                </c:pt>
                <c:pt idx="16">
                  <c:v>1.4192773763763378</c:v>
                </c:pt>
                <c:pt idx="17">
                  <c:v>0.46358920760363187</c:v>
                </c:pt>
                <c:pt idx="18">
                  <c:v>0.1310751733876292</c:v>
                </c:pt>
              </c:numCache>
            </c:numRef>
          </c:yVal>
          <c:smooth val="1"/>
        </c:ser>
        <c:ser>
          <c:idx val="4"/>
          <c:order val="4"/>
          <c:tx>
            <c:v>JP 5</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form'!$AX$5:$AX$23</c:f>
              <c:numCache>
                <c:ptCount val="19"/>
                <c:pt idx="0">
                  <c:v>0</c:v>
                </c:pt>
                <c:pt idx="1">
                  <c:v>1.4432899320127035E-13</c:v>
                </c:pt>
                <c:pt idx="2">
                  <c:v>2.8918534233923765E-09</c:v>
                </c:pt>
                <c:pt idx="3">
                  <c:v>2.9072648954908686E-06</c:v>
                </c:pt>
                <c:pt idx="4">
                  <c:v>0.0004308355728732671</c:v>
                </c:pt>
                <c:pt idx="5">
                  <c:v>0.016510919663981216</c:v>
                </c:pt>
                <c:pt idx="6">
                  <c:v>0.20146817885895452</c:v>
                </c:pt>
                <c:pt idx="7">
                  <c:v>1.2406808141280923</c:v>
                </c:pt>
                <c:pt idx="8">
                  <c:v>4.113788785031181</c:v>
                </c:pt>
                <c:pt idx="9">
                  <c:v>9.208701129388597</c:v>
                </c:pt>
                <c:pt idx="10">
                  <c:v>14.78343723428548</c:v>
                </c:pt>
                <c:pt idx="11">
                  <c:v>16.945869316495155</c:v>
                </c:pt>
                <c:pt idx="12">
                  <c:v>16.572077009844776</c:v>
                </c:pt>
                <c:pt idx="13">
                  <c:v>14.521216803560556</c:v>
                </c:pt>
                <c:pt idx="14">
                  <c:v>10.686712631924422</c:v>
                </c:pt>
                <c:pt idx="15">
                  <c:v>6.539101589737961</c:v>
                </c:pt>
                <c:pt idx="16">
                  <c:v>3.2826649805309582</c:v>
                </c:pt>
                <c:pt idx="17">
                  <c:v>1.284691006073868</c:v>
                </c:pt>
                <c:pt idx="18">
                  <c:v>0.4325996949339883</c:v>
                </c:pt>
              </c:numCache>
            </c:numRef>
          </c:yVal>
          <c:smooth val="1"/>
        </c:ser>
        <c:axId val="46596543"/>
        <c:axId val="16715704"/>
      </c:scatterChart>
      <c:valAx>
        <c:axId val="46596543"/>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16715704"/>
        <c:crosses val="autoZero"/>
        <c:crossBetween val="midCat"/>
        <c:dispUnits/>
      </c:valAx>
      <c:valAx>
        <c:axId val="16715704"/>
        <c:scaling>
          <c:orientation val="minMax"/>
        </c:scaling>
        <c:axPos val="l"/>
        <c:title>
          <c:tx>
            <c:rich>
              <a:bodyPr vert="horz" rot="-5400000" anchor="ctr"/>
              <a:lstStyle/>
              <a:p>
                <a:pPr algn="ctr">
                  <a:defRPr/>
                </a:pPr>
                <a:r>
                  <a:rPr lang="en-US" cap="none" sz="2000" b="1" i="0" u="none" baseline="0">
                    <a:latin typeface="Arial"/>
                    <a:ea typeface="Arial"/>
                    <a:cs typeface="Arial"/>
                  </a:rPr>
                  <a:t>Weight  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800" b="1" i="0" u="none" baseline="0">
                <a:latin typeface="Arial"/>
                <a:ea typeface="Arial"/>
                <a:cs typeface="Arial"/>
              </a:defRPr>
            </a:pPr>
          </a:p>
        </c:txPr>
        <c:crossAx val="46596543"/>
        <c:crosses val="autoZero"/>
        <c:crossBetween val="midCat"/>
        <c:dispUnits/>
      </c:valAx>
      <c:spPr>
        <a:solidFill>
          <a:srgbClr val="C0C0C0"/>
        </a:solidFill>
        <a:ln w="12700">
          <a:solidFill>
            <a:srgbClr val="808080"/>
          </a:solidFill>
        </a:ln>
      </c:spPr>
    </c:plotArea>
    <c:legend>
      <c:legendPos val="r"/>
      <c:layout>
        <c:manualLayout>
          <c:xMode val="edge"/>
          <c:yMode val="edge"/>
          <c:x val="0.77175"/>
          <c:y val="0.25925"/>
          <c:w val="0.21275"/>
          <c:h val="0.54775"/>
        </c:manualLayout>
      </c:layout>
      <c:overlay val="0"/>
      <c:txPr>
        <a:bodyPr vert="horz" rot="0"/>
        <a:lstStyle/>
        <a:p>
          <a:pPr>
            <a:defRPr lang="en-US" cap="none" sz="1600" b="0" i="1"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Derived D2887 curve from D86</a:t>
            </a:r>
          </a:p>
        </c:rich>
      </c:tx>
      <c:layout>
        <c:manualLayout>
          <c:xMode val="factor"/>
          <c:yMode val="factor"/>
          <c:x val="-0.06625"/>
          <c:y val="0.0245"/>
        </c:manualLayout>
      </c:layout>
      <c:spPr>
        <a:noFill/>
        <a:ln>
          <a:noFill/>
        </a:ln>
      </c:spPr>
    </c:title>
    <c:plotArea>
      <c:layout>
        <c:manualLayout>
          <c:xMode val="edge"/>
          <c:yMode val="edge"/>
          <c:x val="0.09075"/>
          <c:y val="0.17525"/>
          <c:w val="0.547"/>
          <c:h val="0.69425"/>
        </c:manualLayout>
      </c:layout>
      <c:scatterChart>
        <c:scatterStyle val="smooth"/>
        <c:varyColors val="0"/>
        <c:ser>
          <c:idx val="0"/>
          <c:order val="0"/>
          <c:tx>
            <c:v>Derived D2887 curve</c:v>
          </c:tx>
          <c:extLst>
            <c:ext xmlns:c14="http://schemas.microsoft.com/office/drawing/2007/8/2/chart" uri="{6F2FDCE9-48DA-4B69-8628-5D25D57E5C99}">
              <c14:invertSolidFillFmt>
                <c14:spPr>
                  <a:solidFill>
                    <a:srgbClr val="000000"/>
                  </a:solidFill>
                </c14:spPr>
              </c14:invertSolidFillFmt>
            </c:ext>
          </c:extLst>
          <c:marker>
            <c:symbol val="none"/>
          </c:marker>
          <c:xVal>
            <c:numRef>
              <c:f>'Input-output'!$G$8:$G$124</c:f>
              <c:numCach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xVal>
          <c:yVal>
            <c:numRef>
              <c:f>'Input-output'!$H$8:$H$124</c:f>
              <c:numCach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Cache>
            </c:numRef>
          </c:yVal>
          <c:smooth val="1"/>
        </c:ser>
        <c:axId val="16223609"/>
        <c:axId val="11794754"/>
      </c:scatterChart>
      <c:valAx>
        <c:axId val="16223609"/>
        <c:scaling>
          <c:orientation val="minMax"/>
          <c:max val="100"/>
        </c:scaling>
        <c:axPos val="b"/>
        <c:title>
          <c:tx>
            <c:rich>
              <a:bodyPr vert="horz" rot="0" anchor="ctr"/>
              <a:lstStyle/>
              <a:p>
                <a:pPr algn="ctr">
                  <a:defRPr/>
                </a:pPr>
                <a:r>
                  <a:rPr lang="en-US" cap="none" sz="500" b="1" i="0" u="none" baseline="0"/>
                  <a:t>% distilled</a:t>
                </a:r>
              </a:p>
            </c:rich>
          </c:tx>
          <c:layout/>
          <c:overlay val="0"/>
          <c:spPr>
            <a:noFill/>
            <a:ln>
              <a:noFill/>
            </a:ln>
          </c:spPr>
        </c:title>
        <c:delete val="0"/>
        <c:numFmt formatCode="General" sourceLinked="1"/>
        <c:majorTickMark val="out"/>
        <c:minorTickMark val="none"/>
        <c:tickLblPos val="nextTo"/>
        <c:crossAx val="11794754"/>
        <c:crosses val="autoZero"/>
        <c:crossBetween val="midCat"/>
        <c:dispUnits/>
        <c:majorUnit val="20"/>
        <c:minorUnit val="5"/>
      </c:valAx>
      <c:valAx>
        <c:axId val="11794754"/>
        <c:scaling>
          <c:orientation val="minMax"/>
          <c:min val="150"/>
        </c:scaling>
        <c:axPos val="l"/>
        <c:title>
          <c:tx>
            <c:rich>
              <a:bodyPr vert="horz" rot="-5400000" anchor="ctr"/>
              <a:lstStyle/>
              <a:p>
                <a:pPr algn="ctr">
                  <a:defRPr/>
                </a:pPr>
                <a:r>
                  <a:rPr lang="en-US" cap="none" sz="500" b="1" i="0" u="none" baseline="0"/>
                  <a:t>Temperature deg F</a:t>
                </a:r>
              </a:p>
            </c:rich>
          </c:tx>
          <c:layout/>
          <c:overlay val="0"/>
          <c:spPr>
            <a:noFill/>
            <a:ln>
              <a:noFill/>
            </a:ln>
          </c:spPr>
        </c:title>
        <c:majorGridlines/>
        <c:delete val="0"/>
        <c:numFmt formatCode="General" sourceLinked="1"/>
        <c:majorTickMark val="out"/>
        <c:minorTickMark val="none"/>
        <c:tickLblPos val="nextTo"/>
        <c:crossAx val="16223609"/>
        <c:crosses val="autoZero"/>
        <c:crossBetween val="midCat"/>
        <c:dispUnits/>
        <c:majorUnit val="50"/>
        <c:minorUnit val="1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9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chart" Target="/xl/charts/chart1.xml" /><Relationship Id="rId6" Type="http://schemas.openxmlformats.org/officeDocument/2006/relationships/image" Target="../media/image3.emf" /><Relationship Id="rId7"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27</xdr:row>
      <xdr:rowOff>19050</xdr:rowOff>
    </xdr:from>
    <xdr:to>
      <xdr:col>9</xdr:col>
      <xdr:colOff>781050</xdr:colOff>
      <xdr:row>27</xdr:row>
      <xdr:rowOff>257175</xdr:rowOff>
    </xdr:to>
    <xdr:pic>
      <xdr:nvPicPr>
        <xdr:cNvPr id="1" name="CommandButton1"/>
        <xdr:cNvPicPr preferRelativeResize="1">
          <a:picLocks noChangeAspect="1"/>
        </xdr:cNvPicPr>
      </xdr:nvPicPr>
      <xdr:blipFill>
        <a:blip r:embed="rId1"/>
        <a:stretch>
          <a:fillRect/>
        </a:stretch>
      </xdr:blipFill>
      <xdr:spPr>
        <a:xfrm>
          <a:off x="7896225" y="4933950"/>
          <a:ext cx="914400" cy="238125"/>
        </a:xfrm>
        <a:prstGeom prst="rect">
          <a:avLst/>
        </a:prstGeom>
        <a:solidFill>
          <a:srgbClr val="FFFFFF"/>
        </a:solidFill>
        <a:ln w="1" cmpd="sng">
          <a:noFill/>
        </a:ln>
      </xdr:spPr>
    </xdr:pic>
    <xdr:clientData fPrintsWithSheet="0"/>
  </xdr:twoCellAnchor>
  <xdr:twoCellAnchor editAs="oneCell">
    <xdr:from>
      <xdr:col>8</xdr:col>
      <xdr:colOff>476250</xdr:colOff>
      <xdr:row>28</xdr:row>
      <xdr:rowOff>19050</xdr:rowOff>
    </xdr:from>
    <xdr:to>
      <xdr:col>9</xdr:col>
      <xdr:colOff>781050</xdr:colOff>
      <xdr:row>29</xdr:row>
      <xdr:rowOff>9525</xdr:rowOff>
    </xdr:to>
    <xdr:pic>
      <xdr:nvPicPr>
        <xdr:cNvPr id="2" name="CommandButton2"/>
        <xdr:cNvPicPr preferRelativeResize="1">
          <a:picLocks noChangeAspect="1"/>
        </xdr:cNvPicPr>
      </xdr:nvPicPr>
      <xdr:blipFill>
        <a:blip r:embed="rId2"/>
        <a:stretch>
          <a:fillRect/>
        </a:stretch>
      </xdr:blipFill>
      <xdr:spPr>
        <a:xfrm>
          <a:off x="7905750" y="5191125"/>
          <a:ext cx="904875" cy="238125"/>
        </a:xfrm>
        <a:prstGeom prst="rect">
          <a:avLst/>
        </a:prstGeom>
        <a:solidFill>
          <a:srgbClr val="FFFFFF"/>
        </a:solidFill>
        <a:ln w="1" cmpd="sng">
          <a:noFill/>
        </a:ln>
      </xdr:spPr>
    </xdr:pic>
    <xdr:clientData fPrintsWithSheet="0"/>
  </xdr:twoCellAnchor>
  <xdr:twoCellAnchor editAs="oneCell">
    <xdr:from>
      <xdr:col>8</xdr:col>
      <xdr:colOff>476250</xdr:colOff>
      <xdr:row>29</xdr:row>
      <xdr:rowOff>19050</xdr:rowOff>
    </xdr:from>
    <xdr:to>
      <xdr:col>9</xdr:col>
      <xdr:colOff>781050</xdr:colOff>
      <xdr:row>29</xdr:row>
      <xdr:rowOff>266700</xdr:rowOff>
    </xdr:to>
    <xdr:pic>
      <xdr:nvPicPr>
        <xdr:cNvPr id="3" name="CommandButton3"/>
        <xdr:cNvPicPr preferRelativeResize="1">
          <a:picLocks noChangeAspect="1"/>
        </xdr:cNvPicPr>
      </xdr:nvPicPr>
      <xdr:blipFill>
        <a:blip r:embed="rId3"/>
        <a:stretch>
          <a:fillRect/>
        </a:stretch>
      </xdr:blipFill>
      <xdr:spPr>
        <a:xfrm>
          <a:off x="7905750" y="5438775"/>
          <a:ext cx="904875" cy="247650"/>
        </a:xfrm>
        <a:prstGeom prst="rect">
          <a:avLst/>
        </a:prstGeom>
        <a:solidFill>
          <a:srgbClr val="FFFFFF"/>
        </a:solidFill>
        <a:ln w="1" cmpd="sng">
          <a:noFill/>
        </a:ln>
      </xdr:spPr>
    </xdr:pic>
    <xdr:clientData fPrintsWithSheet="0"/>
  </xdr:twoCellAnchor>
  <xdr:twoCellAnchor editAs="oneCell">
    <xdr:from>
      <xdr:col>3</xdr:col>
      <xdr:colOff>733425</xdr:colOff>
      <xdr:row>22</xdr:row>
      <xdr:rowOff>85725</xdr:rowOff>
    </xdr:from>
    <xdr:to>
      <xdr:col>4</xdr:col>
      <xdr:colOff>847725</xdr:colOff>
      <xdr:row>25</xdr:row>
      <xdr:rowOff>28575</xdr:rowOff>
    </xdr:to>
    <xdr:pic>
      <xdr:nvPicPr>
        <xdr:cNvPr id="4" name="CommandButton4"/>
        <xdr:cNvPicPr preferRelativeResize="1">
          <a:picLocks noChangeAspect="1"/>
        </xdr:cNvPicPr>
      </xdr:nvPicPr>
      <xdr:blipFill>
        <a:blip r:embed="rId4"/>
        <a:stretch>
          <a:fillRect/>
        </a:stretch>
      </xdr:blipFill>
      <xdr:spPr>
        <a:xfrm>
          <a:off x="3476625" y="4019550"/>
          <a:ext cx="952500" cy="514350"/>
        </a:xfrm>
        <a:prstGeom prst="rect">
          <a:avLst/>
        </a:prstGeom>
        <a:solidFill>
          <a:srgbClr val="FFFFFF"/>
        </a:solidFill>
        <a:ln w="1" cmpd="sng">
          <a:noFill/>
        </a:ln>
      </xdr:spPr>
    </xdr:pic>
    <xdr:clientData/>
  </xdr:twoCellAnchor>
  <xdr:twoCellAnchor>
    <xdr:from>
      <xdr:col>8</xdr:col>
      <xdr:colOff>104775</xdr:colOff>
      <xdr:row>2</xdr:row>
      <xdr:rowOff>57150</xdr:rowOff>
    </xdr:from>
    <xdr:to>
      <xdr:col>11</xdr:col>
      <xdr:colOff>695325</xdr:colOff>
      <xdr:row>22</xdr:row>
      <xdr:rowOff>133350</xdr:rowOff>
    </xdr:to>
    <xdr:graphicFrame>
      <xdr:nvGraphicFramePr>
        <xdr:cNvPr id="5" name="Chart 25"/>
        <xdr:cNvGraphicFramePr/>
      </xdr:nvGraphicFramePr>
      <xdr:xfrm>
        <a:off x="7534275" y="457200"/>
        <a:ext cx="2619375" cy="3609975"/>
      </xdr:xfrm>
      <a:graphic>
        <a:graphicData uri="http://schemas.openxmlformats.org/drawingml/2006/chart">
          <c:chart xmlns:c="http://schemas.openxmlformats.org/drawingml/2006/chart" r:id="rId5"/>
        </a:graphicData>
      </a:graphic>
    </xdr:graphicFrame>
    <xdr:clientData/>
  </xdr:twoCellAnchor>
  <xdr:twoCellAnchor editAs="oneCell">
    <xdr:from>
      <xdr:col>7</xdr:col>
      <xdr:colOff>266700</xdr:colOff>
      <xdr:row>35</xdr:row>
      <xdr:rowOff>28575</xdr:rowOff>
    </xdr:from>
    <xdr:to>
      <xdr:col>9</xdr:col>
      <xdr:colOff>514350</xdr:colOff>
      <xdr:row>36</xdr:row>
      <xdr:rowOff>123825</xdr:rowOff>
    </xdr:to>
    <xdr:pic>
      <xdr:nvPicPr>
        <xdr:cNvPr id="6" name="CommandButton5"/>
        <xdr:cNvPicPr preferRelativeResize="1">
          <a:picLocks noChangeAspect="1"/>
        </xdr:cNvPicPr>
      </xdr:nvPicPr>
      <xdr:blipFill>
        <a:blip r:embed="rId6"/>
        <a:stretch>
          <a:fillRect/>
        </a:stretch>
      </xdr:blipFill>
      <xdr:spPr>
        <a:xfrm>
          <a:off x="6962775" y="6677025"/>
          <a:ext cx="1581150" cy="266700"/>
        </a:xfrm>
        <a:prstGeom prst="rect">
          <a:avLst/>
        </a:prstGeom>
        <a:noFill/>
        <a:ln w="9525" cmpd="sng">
          <a:noFill/>
        </a:ln>
      </xdr:spPr>
    </xdr:pic>
    <xdr:clientData/>
  </xdr:twoCellAnchor>
  <xdr:twoCellAnchor>
    <xdr:from>
      <xdr:col>6</xdr:col>
      <xdr:colOff>180975</xdr:colOff>
      <xdr:row>44</xdr:row>
      <xdr:rowOff>123825</xdr:rowOff>
    </xdr:from>
    <xdr:to>
      <xdr:col>11</xdr:col>
      <xdr:colOff>9525</xdr:colOff>
      <xdr:row>58</xdr:row>
      <xdr:rowOff>0</xdr:rowOff>
    </xdr:to>
    <xdr:graphicFrame>
      <xdr:nvGraphicFramePr>
        <xdr:cNvPr id="7" name="Chart 47"/>
        <xdr:cNvGraphicFramePr/>
      </xdr:nvGraphicFramePr>
      <xdr:xfrm>
        <a:off x="5991225" y="8315325"/>
        <a:ext cx="3476625" cy="22098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257175</xdr:colOff>
      <xdr:row>17</xdr:row>
      <xdr:rowOff>133350</xdr:rowOff>
    </xdr:from>
    <xdr:to>
      <xdr:col>58</xdr:col>
      <xdr:colOff>47625</xdr:colOff>
      <xdr:row>39</xdr:row>
      <xdr:rowOff>133350</xdr:rowOff>
    </xdr:to>
    <xdr:graphicFrame>
      <xdr:nvGraphicFramePr>
        <xdr:cNvPr id="1" name="Chart 95"/>
        <xdr:cNvGraphicFramePr/>
      </xdr:nvGraphicFramePr>
      <xdr:xfrm>
        <a:off x="31546800" y="2886075"/>
        <a:ext cx="5876925" cy="3562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18</xdr:row>
      <xdr:rowOff>28575</xdr:rowOff>
    </xdr:from>
    <xdr:to>
      <xdr:col>13</xdr:col>
      <xdr:colOff>209550</xdr:colOff>
      <xdr:row>34</xdr:row>
      <xdr:rowOff>123825</xdr:rowOff>
    </xdr:to>
    <xdr:graphicFrame>
      <xdr:nvGraphicFramePr>
        <xdr:cNvPr id="1" name="Chart 2"/>
        <xdr:cNvGraphicFramePr/>
      </xdr:nvGraphicFramePr>
      <xdr:xfrm>
        <a:off x="4667250" y="3048000"/>
        <a:ext cx="3467100" cy="283845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0</xdr:row>
      <xdr:rowOff>133350</xdr:rowOff>
    </xdr:from>
    <xdr:to>
      <xdr:col>13</xdr:col>
      <xdr:colOff>200025</xdr:colOff>
      <xdr:row>17</xdr:row>
      <xdr:rowOff>38100</xdr:rowOff>
    </xdr:to>
    <xdr:graphicFrame>
      <xdr:nvGraphicFramePr>
        <xdr:cNvPr id="2" name="Chart 3"/>
        <xdr:cNvGraphicFramePr/>
      </xdr:nvGraphicFramePr>
      <xdr:xfrm>
        <a:off x="4648200" y="133350"/>
        <a:ext cx="3476625" cy="275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6</xdr:row>
      <xdr:rowOff>114300</xdr:rowOff>
    </xdr:from>
    <xdr:to>
      <xdr:col>13</xdr:col>
      <xdr:colOff>342900</xdr:colOff>
      <xdr:row>17</xdr:row>
      <xdr:rowOff>66675</xdr:rowOff>
    </xdr:to>
    <xdr:graphicFrame>
      <xdr:nvGraphicFramePr>
        <xdr:cNvPr id="1" name="Chart 1"/>
        <xdr:cNvGraphicFramePr/>
      </xdr:nvGraphicFramePr>
      <xdr:xfrm>
        <a:off x="5648325" y="1181100"/>
        <a:ext cx="2371725" cy="17335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171450</xdr:colOff>
      <xdr:row>2</xdr:row>
      <xdr:rowOff>114300</xdr:rowOff>
    </xdr:from>
    <xdr:to>
      <xdr:col>11</xdr:col>
      <xdr:colOff>285750</xdr:colOff>
      <xdr:row>4</xdr:row>
      <xdr:rowOff>142875</xdr:rowOff>
    </xdr:to>
    <xdr:pic>
      <xdr:nvPicPr>
        <xdr:cNvPr id="2" name="CommandButton1"/>
        <xdr:cNvPicPr preferRelativeResize="1">
          <a:picLocks noChangeAspect="1"/>
        </xdr:cNvPicPr>
      </xdr:nvPicPr>
      <xdr:blipFill>
        <a:blip r:embed="rId2"/>
        <a:stretch>
          <a:fillRect/>
        </a:stretch>
      </xdr:blipFill>
      <xdr:spPr>
        <a:xfrm>
          <a:off x="5486400" y="476250"/>
          <a:ext cx="1295400" cy="390525"/>
        </a:xfrm>
        <a:prstGeom prst="rect">
          <a:avLst/>
        </a:prstGeom>
        <a:noFill/>
        <a:ln w="9525" cmpd="sng">
          <a:noFill/>
        </a:ln>
      </xdr:spPr>
    </xdr:pic>
    <xdr:clientData/>
  </xdr:twoCellAnchor>
  <xdr:twoCellAnchor>
    <xdr:from>
      <xdr:col>9</xdr:col>
      <xdr:colOff>314325</xdr:colOff>
      <xdr:row>17</xdr:row>
      <xdr:rowOff>142875</xdr:rowOff>
    </xdr:from>
    <xdr:to>
      <xdr:col>13</xdr:col>
      <xdr:colOff>361950</xdr:colOff>
      <xdr:row>27</xdr:row>
      <xdr:rowOff>142875</xdr:rowOff>
    </xdr:to>
    <xdr:graphicFrame>
      <xdr:nvGraphicFramePr>
        <xdr:cNvPr id="3" name="Chart 3"/>
        <xdr:cNvGraphicFramePr/>
      </xdr:nvGraphicFramePr>
      <xdr:xfrm>
        <a:off x="5629275" y="2990850"/>
        <a:ext cx="2409825" cy="16192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18</xdr:row>
      <xdr:rowOff>76200</xdr:rowOff>
    </xdr:from>
    <xdr:to>
      <xdr:col>13</xdr:col>
      <xdr:colOff>352425</xdr:colOff>
      <xdr:row>42</xdr:row>
      <xdr:rowOff>19050</xdr:rowOff>
    </xdr:to>
    <xdr:graphicFrame>
      <xdr:nvGraphicFramePr>
        <xdr:cNvPr id="1" name="Chart 2"/>
        <xdr:cNvGraphicFramePr/>
      </xdr:nvGraphicFramePr>
      <xdr:xfrm>
        <a:off x="2457450" y="2990850"/>
        <a:ext cx="6162675" cy="3829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m117nit\My%20Documents\Flammability%20Reduction\Fuel%20Properties%20and%20Analysis\Fuel%20sample%20data\d86%20to%20d2887%20con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notes"/>
      <sheetName val="Input-output"/>
      <sheetName val="data"/>
      <sheetName val="data1"/>
    </sheetNames>
    <sheetDataSet>
      <sheetData sheetId="1">
        <row r="8">
          <cell r="B8">
            <v>1</v>
          </cell>
          <cell r="C8">
            <v>346.46</v>
          </cell>
        </row>
        <row r="9">
          <cell r="B9">
            <v>2</v>
          </cell>
          <cell r="C9">
            <v>349.16</v>
          </cell>
        </row>
        <row r="10">
          <cell r="B10">
            <v>3</v>
          </cell>
          <cell r="C10">
            <v>353.3</v>
          </cell>
        </row>
        <row r="11">
          <cell r="B11">
            <v>4</v>
          </cell>
          <cell r="C11">
            <v>355.46</v>
          </cell>
        </row>
        <row r="12">
          <cell r="B12">
            <v>5</v>
          </cell>
          <cell r="C12">
            <v>357.62</v>
          </cell>
        </row>
        <row r="13">
          <cell r="B13">
            <v>10</v>
          </cell>
          <cell r="C13">
            <v>364.1</v>
          </cell>
        </row>
        <row r="14">
          <cell r="B14">
            <v>15</v>
          </cell>
          <cell r="C14">
            <v>368.24</v>
          </cell>
        </row>
        <row r="15">
          <cell r="B15">
            <v>20</v>
          </cell>
          <cell r="C15">
            <v>372.92</v>
          </cell>
        </row>
        <row r="16">
          <cell r="B16">
            <v>25</v>
          </cell>
          <cell r="C16">
            <v>377.78</v>
          </cell>
        </row>
        <row r="17">
          <cell r="B17">
            <v>30</v>
          </cell>
          <cell r="C17">
            <v>382.28</v>
          </cell>
        </row>
        <row r="18">
          <cell r="B18">
            <v>35</v>
          </cell>
          <cell r="C18">
            <v>386.24</v>
          </cell>
        </row>
        <row r="19">
          <cell r="B19">
            <v>40</v>
          </cell>
          <cell r="C19">
            <v>392</v>
          </cell>
        </row>
        <row r="20">
          <cell r="B20">
            <v>45</v>
          </cell>
          <cell r="C20">
            <v>396.14</v>
          </cell>
        </row>
        <row r="21">
          <cell r="B21">
            <v>50</v>
          </cell>
          <cell r="C21">
            <v>401.9</v>
          </cell>
        </row>
        <row r="22">
          <cell r="B22">
            <v>55</v>
          </cell>
          <cell r="C22">
            <v>408.2</v>
          </cell>
        </row>
        <row r="23">
          <cell r="B23">
            <v>60</v>
          </cell>
          <cell r="C23">
            <v>413.24</v>
          </cell>
        </row>
        <row r="24">
          <cell r="B24">
            <v>65</v>
          </cell>
          <cell r="C24">
            <v>420.8</v>
          </cell>
        </row>
        <row r="25">
          <cell r="B25">
            <v>70</v>
          </cell>
          <cell r="C25">
            <v>428</v>
          </cell>
        </row>
        <row r="26">
          <cell r="B26">
            <v>75</v>
          </cell>
          <cell r="C26">
            <v>435.2</v>
          </cell>
        </row>
        <row r="27">
          <cell r="B27">
            <v>80</v>
          </cell>
          <cell r="C27">
            <v>442.76</v>
          </cell>
        </row>
        <row r="28">
          <cell r="B28">
            <v>85</v>
          </cell>
          <cell r="C28">
            <v>451.4</v>
          </cell>
        </row>
        <row r="29">
          <cell r="B29">
            <v>90</v>
          </cell>
          <cell r="C29">
            <v>461.12</v>
          </cell>
        </row>
        <row r="30">
          <cell r="B30">
            <v>91</v>
          </cell>
          <cell r="C30">
            <v>463.46</v>
          </cell>
        </row>
        <row r="31">
          <cell r="B31">
            <v>92</v>
          </cell>
          <cell r="C31">
            <v>465.8</v>
          </cell>
        </row>
        <row r="32">
          <cell r="B32">
            <v>93</v>
          </cell>
          <cell r="C32">
            <v>468.5</v>
          </cell>
        </row>
        <row r="33">
          <cell r="B33">
            <v>94</v>
          </cell>
          <cell r="C33">
            <v>471.2</v>
          </cell>
        </row>
        <row r="34">
          <cell r="B34">
            <v>95</v>
          </cell>
          <cell r="C34">
            <v>474.26</v>
          </cell>
        </row>
        <row r="35">
          <cell r="B35">
            <v>96</v>
          </cell>
          <cell r="C35">
            <v>478.22</v>
          </cell>
        </row>
        <row r="36">
          <cell r="B36">
            <v>97</v>
          </cell>
          <cell r="C36">
            <v>482.36</v>
          </cell>
        </row>
        <row r="37">
          <cell r="B37">
            <v>98</v>
          </cell>
          <cell r="C37">
            <v>489.02</v>
          </cell>
        </row>
        <row r="38">
          <cell r="B38">
            <v>99</v>
          </cell>
          <cell r="C38">
            <v>490</v>
          </cell>
        </row>
      </sheetData>
      <sheetData sheetId="2">
        <row r="4">
          <cell r="J4" t="str">
            <v>lower</v>
          </cell>
          <cell r="K4" t="str">
            <v>upper</v>
          </cell>
        </row>
        <row r="7">
          <cell r="I7" t="str">
            <v>1 sigma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8"/>
  <dimension ref="A1:M56"/>
  <sheetViews>
    <sheetView workbookViewId="0" topLeftCell="A1">
      <selection activeCell="C46" sqref="C46"/>
    </sheetView>
  </sheetViews>
  <sheetFormatPr defaultColWidth="9.140625" defaultRowHeight="12.75"/>
  <cols>
    <col min="1" max="1" width="119.140625" style="0" customWidth="1"/>
  </cols>
  <sheetData>
    <row r="1" ht="42" customHeight="1">
      <c r="A1" s="91" t="s">
        <v>252</v>
      </c>
    </row>
    <row r="2" ht="24.75" customHeight="1">
      <c r="A2" s="92" t="s">
        <v>225</v>
      </c>
    </row>
    <row r="3" ht="180.75" customHeight="1">
      <c r="A3" s="93" t="s">
        <v>280</v>
      </c>
    </row>
    <row r="4" ht="50.25" customHeight="1">
      <c r="A4" s="93" t="s">
        <v>281</v>
      </c>
    </row>
    <row r="5" ht="39.75" customHeight="1">
      <c r="A5" s="93" t="s">
        <v>0</v>
      </c>
    </row>
    <row r="6" ht="44.25" customHeight="1">
      <c r="A6" s="93" t="s">
        <v>254</v>
      </c>
    </row>
    <row r="7" ht="25.5">
      <c r="A7" s="94" t="s">
        <v>282</v>
      </c>
    </row>
    <row r="8" ht="21.75" customHeight="1">
      <c r="A8" s="95"/>
    </row>
    <row r="9" spans="1:13" ht="18" customHeight="1">
      <c r="A9" s="92" t="s">
        <v>226</v>
      </c>
      <c r="B9" s="82"/>
      <c r="C9" s="82"/>
      <c r="D9" s="82"/>
      <c r="E9" s="82"/>
      <c r="F9" s="82"/>
      <c r="G9" s="82"/>
      <c r="H9" s="82"/>
      <c r="I9" s="82"/>
      <c r="J9" s="82"/>
      <c r="K9" s="82"/>
      <c r="L9" s="82"/>
      <c r="M9" s="82"/>
    </row>
    <row r="10" spans="1:13" ht="30" customHeight="1">
      <c r="A10" s="96" t="s">
        <v>242</v>
      </c>
      <c r="B10" s="82"/>
      <c r="C10" s="82"/>
      <c r="D10" s="82"/>
      <c r="E10" s="82"/>
      <c r="F10" s="82"/>
      <c r="G10" s="82"/>
      <c r="H10" s="82"/>
      <c r="I10" s="82"/>
      <c r="J10" s="82"/>
      <c r="K10" s="82"/>
      <c r="L10" s="82"/>
      <c r="M10" s="82"/>
    </row>
    <row r="11" spans="1:13" ht="44.25" customHeight="1">
      <c r="A11" s="93" t="s">
        <v>222</v>
      </c>
      <c r="B11" s="82"/>
      <c r="C11" s="82"/>
      <c r="D11" s="82"/>
      <c r="E11" s="82"/>
      <c r="F11" s="82"/>
      <c r="G11" s="82"/>
      <c r="H11" s="82"/>
      <c r="I11" s="82"/>
      <c r="J11" s="82"/>
      <c r="K11" s="82"/>
      <c r="L11" s="82"/>
      <c r="M11" s="82"/>
    </row>
    <row r="12" spans="1:13" ht="54.75" customHeight="1">
      <c r="A12" s="93" t="s">
        <v>223</v>
      </c>
      <c r="B12" s="82"/>
      <c r="C12" s="82"/>
      <c r="D12" s="82"/>
      <c r="E12" s="82"/>
      <c r="F12" s="82"/>
      <c r="G12" s="82"/>
      <c r="H12" s="82"/>
      <c r="I12" s="82"/>
      <c r="J12" s="82"/>
      <c r="K12" s="82"/>
      <c r="L12" s="82"/>
      <c r="M12" s="82"/>
    </row>
    <row r="13" spans="1:13" ht="38.25">
      <c r="A13" s="93" t="s">
        <v>288</v>
      </c>
      <c r="B13" s="82"/>
      <c r="C13" s="82"/>
      <c r="D13" s="82"/>
      <c r="E13" s="82"/>
      <c r="F13" s="82"/>
      <c r="G13" s="82"/>
      <c r="H13" s="82"/>
      <c r="I13" s="82"/>
      <c r="J13" s="82"/>
      <c r="K13" s="82"/>
      <c r="L13" s="82"/>
      <c r="M13" s="82"/>
    </row>
    <row r="14" spans="1:13" ht="9" customHeight="1">
      <c r="A14" s="93"/>
      <c r="B14" s="82"/>
      <c r="C14" s="82"/>
      <c r="D14" s="82"/>
      <c r="E14" s="82"/>
      <c r="F14" s="82"/>
      <c r="G14" s="82"/>
      <c r="H14" s="82"/>
      <c r="I14" s="82"/>
      <c r="J14" s="82"/>
      <c r="K14" s="82"/>
      <c r="L14" s="82"/>
      <c r="M14" s="82"/>
    </row>
    <row r="15" spans="1:13" ht="98.25" customHeight="1">
      <c r="A15" s="93" t="s">
        <v>250</v>
      </c>
      <c r="B15" s="82"/>
      <c r="C15" s="82"/>
      <c r="D15" s="82"/>
      <c r="E15" s="82"/>
      <c r="F15" s="82"/>
      <c r="G15" s="82"/>
      <c r="H15" s="82"/>
      <c r="I15" s="82"/>
      <c r="J15" s="82"/>
      <c r="K15" s="82"/>
      <c r="L15" s="82"/>
      <c r="M15" s="82"/>
    </row>
    <row r="16" spans="1:13" ht="92.25" customHeight="1">
      <c r="A16" s="93" t="s">
        <v>249</v>
      </c>
      <c r="B16" s="82"/>
      <c r="C16" s="82"/>
      <c r="D16" s="82"/>
      <c r="E16" s="82"/>
      <c r="F16" s="82"/>
      <c r="G16" s="82"/>
      <c r="H16" s="82"/>
      <c r="I16" s="82"/>
      <c r="J16" s="82"/>
      <c r="K16" s="82"/>
      <c r="L16" s="82"/>
      <c r="M16" s="82"/>
    </row>
    <row r="17" spans="1:13" ht="48" customHeight="1">
      <c r="A17" s="93" t="s">
        <v>237</v>
      </c>
      <c r="B17" s="82"/>
      <c r="C17" s="82"/>
      <c r="D17" s="82"/>
      <c r="E17" s="82"/>
      <c r="F17" s="82"/>
      <c r="G17" s="82"/>
      <c r="H17" s="82"/>
      <c r="I17" s="82"/>
      <c r="J17" s="82"/>
      <c r="K17" s="82"/>
      <c r="L17" s="82"/>
      <c r="M17" s="82"/>
    </row>
    <row r="18" spans="1:13" ht="58.5" customHeight="1">
      <c r="A18" s="93" t="s">
        <v>224</v>
      </c>
      <c r="B18" s="82"/>
      <c r="C18" s="82"/>
      <c r="D18" s="82"/>
      <c r="E18" s="82"/>
      <c r="F18" s="82"/>
      <c r="G18" s="82"/>
      <c r="H18" s="82"/>
      <c r="I18" s="82"/>
      <c r="J18" s="82"/>
      <c r="K18" s="82"/>
      <c r="L18" s="82"/>
      <c r="M18" s="82"/>
    </row>
    <row r="19" spans="1:13" ht="47.25" customHeight="1">
      <c r="A19" s="93" t="s">
        <v>283</v>
      </c>
      <c r="B19" s="82"/>
      <c r="C19" s="82"/>
      <c r="D19" s="82"/>
      <c r="E19" s="82"/>
      <c r="F19" s="82"/>
      <c r="G19" s="82"/>
      <c r="H19" s="82"/>
      <c r="I19" s="82"/>
      <c r="J19" s="82"/>
      <c r="K19" s="82"/>
      <c r="L19" s="82"/>
      <c r="M19" s="82"/>
    </row>
    <row r="20" spans="1:13" ht="114.75" customHeight="1">
      <c r="A20" s="93" t="s">
        <v>253</v>
      </c>
      <c r="B20" s="82"/>
      <c r="C20" s="82"/>
      <c r="D20" s="82"/>
      <c r="E20" s="82"/>
      <c r="F20" s="82"/>
      <c r="G20" s="82"/>
      <c r="H20" s="82"/>
      <c r="I20" s="82"/>
      <c r="J20" s="82"/>
      <c r="K20" s="82"/>
      <c r="L20" s="82"/>
      <c r="M20" s="82"/>
    </row>
    <row r="21" spans="1:13" ht="12.75">
      <c r="A21" s="93"/>
      <c r="B21" s="82"/>
      <c r="C21" s="82"/>
      <c r="D21" s="82"/>
      <c r="E21" s="82"/>
      <c r="F21" s="82"/>
      <c r="G21" s="82"/>
      <c r="H21" s="82"/>
      <c r="I21" s="82"/>
      <c r="J21" s="82"/>
      <c r="K21" s="82"/>
      <c r="L21" s="82"/>
      <c r="M21" s="82"/>
    </row>
    <row r="22" spans="1:13" ht="12.75">
      <c r="A22" s="93"/>
      <c r="B22" s="82"/>
      <c r="C22" s="82"/>
      <c r="D22" s="82"/>
      <c r="E22" s="82"/>
      <c r="F22" s="82"/>
      <c r="G22" s="82"/>
      <c r="H22" s="82"/>
      <c r="I22" s="82"/>
      <c r="J22" s="82"/>
      <c r="K22" s="82"/>
      <c r="L22" s="82"/>
      <c r="M22" s="82"/>
    </row>
    <row r="23" ht="12.75">
      <c r="A23" s="93"/>
    </row>
    <row r="24" ht="12.75">
      <c r="A24" s="97" t="s">
        <v>227</v>
      </c>
    </row>
    <row r="25" ht="12.75">
      <c r="A25" s="100">
        <v>36556</v>
      </c>
    </row>
    <row r="26" ht="25.5">
      <c r="A26" s="93" t="s">
        <v>238</v>
      </c>
    </row>
    <row r="27" ht="12.75">
      <c r="A27" s="97"/>
    </row>
    <row r="28" ht="12.75">
      <c r="A28" s="100">
        <v>36672</v>
      </c>
    </row>
    <row r="29" ht="12.75">
      <c r="A29" s="98" t="s">
        <v>267</v>
      </c>
    </row>
    <row r="30" ht="12.75">
      <c r="A30" s="97" t="s">
        <v>245</v>
      </c>
    </row>
    <row r="31" ht="12.75">
      <c r="A31" s="93" t="s">
        <v>243</v>
      </c>
    </row>
    <row r="32" ht="25.5">
      <c r="A32" s="93" t="s">
        <v>251</v>
      </c>
    </row>
    <row r="33" ht="12.75">
      <c r="A33" s="97"/>
    </row>
    <row r="34" ht="38.25">
      <c r="A34" s="93" t="s">
        <v>244</v>
      </c>
    </row>
    <row r="35" ht="9.75" customHeight="1">
      <c r="A35" s="97"/>
    </row>
    <row r="36" ht="38.25">
      <c r="A36" s="93" t="s">
        <v>246</v>
      </c>
    </row>
    <row r="37" ht="12.75">
      <c r="A37" s="97"/>
    </row>
    <row r="38" ht="69.75" customHeight="1">
      <c r="A38" s="99" t="s">
        <v>248</v>
      </c>
    </row>
    <row r="40" ht="12.75">
      <c r="A40" t="s">
        <v>258</v>
      </c>
    </row>
    <row r="41" ht="12.75">
      <c r="A41" t="s">
        <v>265</v>
      </c>
    </row>
    <row r="42" ht="12.75">
      <c r="A42" t="s">
        <v>268</v>
      </c>
    </row>
    <row r="43" ht="12.75">
      <c r="A43" t="s">
        <v>270</v>
      </c>
    </row>
    <row r="45" ht="12.75">
      <c r="A45" t="s">
        <v>278</v>
      </c>
    </row>
    <row r="46" ht="12.75">
      <c r="A46" t="s">
        <v>277</v>
      </c>
    </row>
    <row r="47" ht="12.75">
      <c r="A47" t="s">
        <v>279</v>
      </c>
    </row>
    <row r="48" ht="12.75">
      <c r="A48" t="s">
        <v>287</v>
      </c>
    </row>
    <row r="50" ht="12.75">
      <c r="A50" s="269" t="s">
        <v>308</v>
      </c>
    </row>
    <row r="51" ht="12.75">
      <c r="A51" s="269"/>
    </row>
    <row r="52" ht="12.75">
      <c r="A52" s="269"/>
    </row>
    <row r="53" ht="12.75">
      <c r="A53" t="s">
        <v>307</v>
      </c>
    </row>
    <row r="56" ht="12.75">
      <c r="A56" s="91" t="s">
        <v>247</v>
      </c>
    </row>
  </sheetData>
  <mergeCells count="1">
    <mergeCell ref="A50:A5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O86"/>
  <sheetViews>
    <sheetView tabSelected="1" zoomScale="80" zoomScaleNormal="80" workbookViewId="0" topLeftCell="A1">
      <selection activeCell="N25" sqref="N25"/>
    </sheetView>
  </sheetViews>
  <sheetFormatPr defaultColWidth="9.140625" defaultRowHeight="12.75"/>
  <cols>
    <col min="1" max="1" width="10.00390625" style="0" customWidth="1"/>
    <col min="2" max="2" width="17.140625" style="0" customWidth="1"/>
    <col min="3" max="3" width="14.00390625" style="0" customWidth="1"/>
    <col min="4" max="4" width="12.57421875" style="0" customWidth="1"/>
    <col min="5" max="5" width="13.140625" style="0" customWidth="1"/>
    <col min="6" max="6" width="20.28125" style="0" customWidth="1"/>
    <col min="7" max="7" width="13.28125" style="0" customWidth="1"/>
    <col min="8" max="8" width="11.00390625" style="0" customWidth="1"/>
    <col min="9" max="9" width="9.00390625" style="0" bestFit="1" customWidth="1"/>
    <col min="10" max="10" width="12.421875" style="0" bestFit="1" customWidth="1"/>
    <col min="11" max="11" width="9.00390625" style="0" bestFit="1" customWidth="1"/>
    <col min="12" max="12" width="12.28125" style="0" bestFit="1" customWidth="1"/>
    <col min="13" max="13" width="11.28125" style="0" customWidth="1"/>
    <col min="15" max="15" width="9.00390625" style="0" bestFit="1" customWidth="1"/>
    <col min="16" max="16" width="10.140625" style="0" customWidth="1"/>
    <col min="18" max="18" width="12.8515625" style="0" customWidth="1"/>
    <col min="19" max="19" width="10.421875" style="0" customWidth="1"/>
    <col min="20" max="23" width="9.00390625" style="0" bestFit="1" customWidth="1"/>
    <col min="24" max="24" width="12.57421875" style="0" bestFit="1" customWidth="1"/>
    <col min="25" max="25" width="9.00390625" style="0" bestFit="1" customWidth="1"/>
    <col min="26" max="27" width="12.8515625" style="0" bestFit="1" customWidth="1"/>
    <col min="30" max="30" width="11.421875" style="0" bestFit="1" customWidth="1"/>
    <col min="31" max="31" width="11.57421875" style="0" customWidth="1"/>
    <col min="35" max="35" width="12.421875" style="0" bestFit="1" customWidth="1"/>
    <col min="36" max="36" width="11.421875" style="0" bestFit="1" customWidth="1"/>
    <col min="42" max="42" width="12.421875" style="0" bestFit="1" customWidth="1"/>
    <col min="48" max="48" width="12.421875" style="0" bestFit="1" customWidth="1"/>
    <col min="54" max="54" width="12.421875" style="0" bestFit="1" customWidth="1"/>
    <col min="59" max="59" width="12.421875" style="0" bestFit="1" customWidth="1"/>
    <col min="62" max="62" width="13.7109375" style="0" customWidth="1"/>
  </cols>
  <sheetData>
    <row r="1" spans="1:65" ht="15.75">
      <c r="A1" s="21" t="s">
        <v>284</v>
      </c>
      <c r="B1" s="20"/>
      <c r="W1" s="25"/>
      <c r="X1" s="25" t="s">
        <v>129</v>
      </c>
      <c r="Y1" s="25" t="s">
        <v>82</v>
      </c>
      <c r="Z1" s="25"/>
      <c r="AA1" s="25"/>
      <c r="AC1" s="30"/>
      <c r="AD1" s="30" t="s">
        <v>124</v>
      </c>
      <c r="AE1" s="30" t="s">
        <v>82</v>
      </c>
      <c r="AF1" s="30"/>
      <c r="AG1" s="30"/>
      <c r="AI1" s="35"/>
      <c r="AJ1" s="35" t="s">
        <v>130</v>
      </c>
      <c r="AK1" s="35" t="s">
        <v>82</v>
      </c>
      <c r="AL1" s="35"/>
      <c r="AM1" s="35"/>
      <c r="AO1" s="40"/>
      <c r="AP1" s="40" t="s">
        <v>126</v>
      </c>
      <c r="AQ1" s="40" t="s">
        <v>82</v>
      </c>
      <c r="AR1" s="40"/>
      <c r="AS1" s="40"/>
      <c r="AU1" s="46"/>
      <c r="AV1" s="46" t="s">
        <v>131</v>
      </c>
      <c r="AW1" s="46" t="s">
        <v>82</v>
      </c>
      <c r="AX1" s="46"/>
      <c r="AY1" s="46"/>
      <c r="BA1" s="51" t="s">
        <v>132</v>
      </c>
      <c r="BB1" s="51"/>
      <c r="BC1" s="51" t="s">
        <v>82</v>
      </c>
      <c r="BD1" s="51"/>
      <c r="BE1" s="51"/>
      <c r="BG1" t="s">
        <v>133</v>
      </c>
      <c r="BI1" s="12" t="s">
        <v>147</v>
      </c>
      <c r="BJ1" s="60"/>
      <c r="BK1" s="51"/>
      <c r="BL1" s="51"/>
      <c r="BM1" s="51"/>
    </row>
    <row r="2" spans="1:65" ht="15.75">
      <c r="A2" s="24" t="s">
        <v>208</v>
      </c>
      <c r="F2" s="20" t="s">
        <v>330</v>
      </c>
      <c r="M2" t="s">
        <v>81</v>
      </c>
      <c r="O2" t="s">
        <v>233</v>
      </c>
      <c r="P2" t="s">
        <v>232</v>
      </c>
      <c r="Q2" s="5"/>
      <c r="R2" s="15"/>
      <c r="W2" s="25"/>
      <c r="X2" s="26" t="s">
        <v>89</v>
      </c>
      <c r="Y2" s="25" t="s">
        <v>90</v>
      </c>
      <c r="Z2" s="25"/>
      <c r="AA2" s="25" t="s">
        <v>121</v>
      </c>
      <c r="AC2" s="30"/>
      <c r="AD2" s="31" t="s">
        <v>89</v>
      </c>
      <c r="AE2" s="30" t="s">
        <v>90</v>
      </c>
      <c r="AF2" s="30"/>
      <c r="AG2" s="30" t="s">
        <v>121</v>
      </c>
      <c r="AI2" s="35"/>
      <c r="AJ2" s="36" t="s">
        <v>89</v>
      </c>
      <c r="AK2" s="35" t="s">
        <v>90</v>
      </c>
      <c r="AL2" s="35"/>
      <c r="AM2" s="35" t="s">
        <v>121</v>
      </c>
      <c r="AO2" s="40"/>
      <c r="AP2" s="41" t="s">
        <v>89</v>
      </c>
      <c r="AQ2" s="40" t="s">
        <v>90</v>
      </c>
      <c r="AR2" s="40"/>
      <c r="AS2" s="40" t="s">
        <v>121</v>
      </c>
      <c r="AU2" s="46"/>
      <c r="AV2" s="47" t="s">
        <v>89</v>
      </c>
      <c r="AW2" s="46" t="s">
        <v>90</v>
      </c>
      <c r="AX2" s="46"/>
      <c r="AY2" s="46" t="s">
        <v>121</v>
      </c>
      <c r="BA2" s="51"/>
      <c r="BB2" s="52" t="s">
        <v>89</v>
      </c>
      <c r="BC2" s="51" t="s">
        <v>90</v>
      </c>
      <c r="BD2" s="51"/>
      <c r="BE2" s="51" t="s">
        <v>121</v>
      </c>
      <c r="BI2" s="56"/>
      <c r="BJ2" s="12" t="s">
        <v>151</v>
      </c>
      <c r="BK2" s="51"/>
      <c r="BL2" s="51" t="s">
        <v>149</v>
      </c>
      <c r="BM2" s="51"/>
    </row>
    <row r="3" spans="1:65" ht="12.75">
      <c r="A3" t="s">
        <v>99</v>
      </c>
      <c r="G3" s="18"/>
      <c r="M3" t="s">
        <v>82</v>
      </c>
      <c r="N3" t="s">
        <v>97</v>
      </c>
      <c r="O3" t="s">
        <v>67</v>
      </c>
      <c r="Q3" s="5"/>
      <c r="R3" s="15"/>
      <c r="W3" s="25" t="s">
        <v>137</v>
      </c>
      <c r="X3" s="25" t="s">
        <v>91</v>
      </c>
      <c r="Y3" s="25"/>
      <c r="Z3" s="25"/>
      <c r="AA3" s="25" t="s">
        <v>128</v>
      </c>
      <c r="AC3" s="30"/>
      <c r="AD3" s="30" t="s">
        <v>91</v>
      </c>
      <c r="AE3" s="30"/>
      <c r="AF3" s="30"/>
      <c r="AG3" s="30"/>
      <c r="AI3" s="35"/>
      <c r="AJ3" s="35" t="s">
        <v>91</v>
      </c>
      <c r="AK3" s="35"/>
      <c r="AL3" s="35"/>
      <c r="AM3" s="35"/>
      <c r="AO3" s="40"/>
      <c r="AP3" s="40" t="s">
        <v>91</v>
      </c>
      <c r="AQ3" s="40"/>
      <c r="AR3" s="40"/>
      <c r="AS3" s="40"/>
      <c r="AU3" s="46"/>
      <c r="AV3" s="46" t="s">
        <v>91</v>
      </c>
      <c r="AW3" s="46"/>
      <c r="AX3" s="46"/>
      <c r="AY3" s="46"/>
      <c r="BA3" s="51"/>
      <c r="BB3" s="51" t="s">
        <v>91</v>
      </c>
      <c r="BC3" s="51"/>
      <c r="BD3" s="51"/>
      <c r="BE3" s="51"/>
      <c r="BI3" s="12" t="s">
        <v>69</v>
      </c>
      <c r="BJ3" s="12" t="s">
        <v>148</v>
      </c>
      <c r="BK3" s="51"/>
      <c r="BL3" s="51" t="s">
        <v>150</v>
      </c>
      <c r="BM3" s="51"/>
    </row>
    <row r="4" spans="1:65" ht="15.75" hidden="1">
      <c r="A4" s="11" t="s">
        <v>101</v>
      </c>
      <c r="C4" s="11"/>
      <c r="D4" s="11"/>
      <c r="E4" s="11"/>
      <c r="M4" t="s">
        <v>96</v>
      </c>
      <c r="O4" t="s">
        <v>100</v>
      </c>
      <c r="Q4" s="5"/>
      <c r="R4" s="15"/>
      <c r="S4" s="5"/>
      <c r="T4" s="5"/>
      <c r="U4" s="5"/>
      <c r="V4" s="5" t="s">
        <v>92</v>
      </c>
      <c r="W4" s="27"/>
      <c r="X4" s="25"/>
      <c r="Y4" s="25"/>
      <c r="Z4" s="25"/>
      <c r="AA4" s="25"/>
      <c r="AB4" s="5" t="s">
        <v>92</v>
      </c>
      <c r="AC4" s="32"/>
      <c r="AD4" s="30"/>
      <c r="AE4" s="30"/>
      <c r="AF4" s="30"/>
      <c r="AG4" s="30"/>
      <c r="AI4" s="37"/>
      <c r="AJ4" s="35"/>
      <c r="AK4" s="35"/>
      <c r="AL4" s="35"/>
      <c r="AM4" s="35"/>
      <c r="AO4" s="42"/>
      <c r="AP4" s="40"/>
      <c r="AQ4" s="40"/>
      <c r="AR4" s="40"/>
      <c r="AS4" s="40"/>
      <c r="AU4" s="48"/>
      <c r="AV4" s="46"/>
      <c r="AW4" s="46"/>
      <c r="AX4" s="46"/>
      <c r="AY4" s="46"/>
      <c r="BA4" s="53"/>
      <c r="BB4" s="51"/>
      <c r="BC4" s="51"/>
      <c r="BD4" s="51"/>
      <c r="BE4" s="51"/>
      <c r="BI4" s="53"/>
      <c r="BJ4" s="51"/>
      <c r="BK4" s="51"/>
      <c r="BL4" s="51"/>
      <c r="BM4" s="51"/>
    </row>
    <row r="5" spans="1:65" ht="12.75">
      <c r="A5" s="103" t="s">
        <v>1</v>
      </c>
      <c r="B5" s="101"/>
      <c r="C5" s="102"/>
      <c r="D5" s="102"/>
      <c r="E5" s="102"/>
      <c r="F5" s="102"/>
      <c r="M5">
        <v>1</v>
      </c>
      <c r="N5" s="19">
        <f aca="true" t="shared" si="0" ref="N5:N23">IF($F$17="yes",BL5,BG5)</f>
        <v>0</v>
      </c>
      <c r="O5" s="17">
        <f>N5/100</f>
        <v>0</v>
      </c>
      <c r="P5" s="19">
        <f>Sheet1!L12*100</f>
        <v>0</v>
      </c>
      <c r="Q5" s="5"/>
      <c r="R5" s="8" t="s">
        <v>93</v>
      </c>
      <c r="S5" s="5"/>
      <c r="T5" s="5"/>
      <c r="U5" s="5"/>
      <c r="V5" s="5"/>
      <c r="W5" s="28">
        <f>1</f>
        <v>1</v>
      </c>
      <c r="X5" s="65">
        <f>X41</f>
        <v>4.665023922711953E-11</v>
      </c>
      <c r="Y5" s="25">
        <f aca="true" t="shared" si="1" ref="Y5:Y23">X5-X4</f>
        <v>4.665023922711953E-11</v>
      </c>
      <c r="Z5" s="25">
        <f>Y5*100</f>
        <v>4.665023922711953E-09</v>
      </c>
      <c r="AA5" s="25">
        <f>Z5*$S$8/100</f>
        <v>0</v>
      </c>
      <c r="AB5" s="5"/>
      <c r="AC5" s="33">
        <f>1.00005</f>
        <v>1.00005</v>
      </c>
      <c r="AD5" s="66">
        <f>AD41</f>
        <v>1.715886133180078E-08</v>
      </c>
      <c r="AE5" s="30">
        <f aca="true" t="shared" si="2" ref="AE5:AE23">AD5-AD4</f>
        <v>1.715886133180078E-08</v>
      </c>
      <c r="AF5" s="30">
        <f>AE5*100</f>
        <v>1.7158861331800779E-06</v>
      </c>
      <c r="AG5" s="30">
        <f>AF5*$S$10/100</f>
        <v>0</v>
      </c>
      <c r="AH5" s="16"/>
      <c r="AI5" s="38">
        <f>1.00005</f>
        <v>1.00005</v>
      </c>
      <c r="AJ5" s="67">
        <f>AJ41</f>
        <v>1.1102230246251565E-16</v>
      </c>
      <c r="AK5" s="35">
        <f aca="true" t="shared" si="3" ref="AK5:AK23">AJ5-AJ4</f>
        <v>1.1102230246251565E-16</v>
      </c>
      <c r="AL5" s="35">
        <f>AK5*100</f>
        <v>1.1102230246251565E-14</v>
      </c>
      <c r="AM5" s="35">
        <f>AL5*$S$12/100</f>
        <v>0</v>
      </c>
      <c r="AO5" s="43">
        <f>1.00005</f>
        <v>1.00005</v>
      </c>
      <c r="AP5" s="68">
        <f>AP41</f>
        <v>0</v>
      </c>
      <c r="AQ5" s="40">
        <f aca="true" t="shared" si="4" ref="AQ5:AQ23">AP5-AP4</f>
        <v>0</v>
      </c>
      <c r="AR5" s="40">
        <f>AQ5*100</f>
        <v>0</v>
      </c>
      <c r="AS5" s="40">
        <f>AR5*$S$14/100</f>
        <v>0</v>
      </c>
      <c r="AU5" s="49">
        <f>1.00005</f>
        <v>1.00005</v>
      </c>
      <c r="AV5" s="69">
        <f>AV41</f>
        <v>0</v>
      </c>
      <c r="AW5" s="46">
        <f aca="true" t="shared" si="5" ref="AW5:AW23">AV5-AV4</f>
        <v>0</v>
      </c>
      <c r="AX5" s="46">
        <f>AW5*100</f>
        <v>0</v>
      </c>
      <c r="AY5" s="46">
        <f>AX5*$S$16/100</f>
        <v>0</v>
      </c>
      <c r="BA5" s="54">
        <f>1.00005</f>
        <v>1.00005</v>
      </c>
      <c r="BB5" s="70">
        <f>BB41</f>
        <v>0</v>
      </c>
      <c r="BC5" s="51">
        <f aca="true" t="shared" si="6" ref="BC5:BC23">BB5-BB4</f>
        <v>0</v>
      </c>
      <c r="BD5" s="51">
        <f>BC5*100</f>
        <v>0</v>
      </c>
      <c r="BE5" s="51">
        <f>BD5*$S$18/100</f>
        <v>0</v>
      </c>
      <c r="BG5">
        <f aca="true" t="shared" si="7" ref="BG5:BG23">AA5+AG5+AM5+AS5+AY5+BE5</f>
        <v>0</v>
      </c>
      <c r="BI5" s="54">
        <f>1.00005</f>
        <v>1.00005</v>
      </c>
      <c r="BJ5">
        <v>2.099342215115289E-10</v>
      </c>
      <c r="BK5">
        <f>Sheet1!Y12</f>
        <v>0</v>
      </c>
      <c r="BL5" s="57">
        <f>BJ5/$BJ$25*100</f>
        <v>2.0993422151152897E-10</v>
      </c>
      <c r="BM5" s="51"/>
    </row>
    <row r="6" spans="1:67" ht="15">
      <c r="A6" s="101"/>
      <c r="B6" s="103" t="s">
        <v>259</v>
      </c>
      <c r="C6" s="103"/>
      <c r="D6" s="103"/>
      <c r="E6" s="103"/>
      <c r="F6" s="101"/>
      <c r="M6">
        <v>2</v>
      </c>
      <c r="N6" s="19">
        <f t="shared" si="0"/>
        <v>9.992007221626409E-14</v>
      </c>
      <c r="O6" s="17">
        <f>N6/100</f>
        <v>9.992007221626409E-16</v>
      </c>
      <c r="P6" s="19">
        <f>Sheet1!L13*100</f>
        <v>5.45467664107865E-13</v>
      </c>
      <c r="Q6" s="5"/>
      <c r="R6" s="15"/>
      <c r="S6" s="5"/>
      <c r="T6" s="5" t="s">
        <v>202</v>
      </c>
      <c r="V6" s="5"/>
      <c r="W6" s="28">
        <f aca="true" t="shared" si="8" ref="W6:W23">W5+1</f>
        <v>2</v>
      </c>
      <c r="X6" s="65">
        <f aca="true" t="shared" si="9" ref="X6:X23">X42</f>
        <v>1.6936609120721258E-06</v>
      </c>
      <c r="Y6" s="25">
        <f t="shared" si="1"/>
        <v>1.6936142618328986E-06</v>
      </c>
      <c r="Z6" s="25">
        <f aca="true" t="shared" si="10" ref="Z6:Z23">Y6*100</f>
        <v>0.00016936142618328986</v>
      </c>
      <c r="AA6" s="25">
        <f aca="true" t="shared" si="11" ref="AA6:AA23">Z6*$S$8/100</f>
        <v>0</v>
      </c>
      <c r="AB6" s="5"/>
      <c r="AC6" s="33">
        <f aca="true" t="shared" si="12" ref="AC6:AC23">AC5+1</f>
        <v>2.00005</v>
      </c>
      <c r="AD6" s="66">
        <f aca="true" t="shared" si="13" ref="AD6:AD23">AD42</f>
        <v>1.0405286328007968E-05</v>
      </c>
      <c r="AE6" s="30">
        <f t="shared" si="2"/>
        <v>1.0388127466676167E-05</v>
      </c>
      <c r="AF6" s="30">
        <f aca="true" t="shared" si="14" ref="AF6:AF23">AE6*100</f>
        <v>0.0010388127466676167</v>
      </c>
      <c r="AG6" s="30">
        <f aca="true" t="shared" si="15" ref="AG6:AG23">AF6*$S$10/100</f>
        <v>0</v>
      </c>
      <c r="AH6" s="16"/>
      <c r="AI6" s="38">
        <f aca="true" t="shared" si="16" ref="AI6:AI23">AI5+1</f>
        <v>2.00005</v>
      </c>
      <c r="AJ6" s="67">
        <f aca="true" t="shared" si="17" ref="AJ6:AJ23">AJ42</f>
        <v>2.1153079288183108E-11</v>
      </c>
      <c r="AK6" s="35">
        <f t="shared" si="3"/>
        <v>2.1152968265880645E-11</v>
      </c>
      <c r="AL6" s="35">
        <f aca="true" t="shared" si="18" ref="AL6:AL23">AK6*100</f>
        <v>2.1152968265880645E-09</v>
      </c>
      <c r="AM6" s="35">
        <f aca="true" t="shared" si="19" ref="AM6:AM23">AL6*$S$12/100</f>
        <v>0</v>
      </c>
      <c r="AO6" s="43">
        <f aca="true" t="shared" si="20" ref="AO6:AO23">AO5+1</f>
        <v>2.00005</v>
      </c>
      <c r="AP6" s="68">
        <f aca="true" t="shared" si="21" ref="AP6:AP23">AP42</f>
        <v>3.552713678800501E-14</v>
      </c>
      <c r="AQ6" s="40">
        <f t="shared" si="4"/>
        <v>3.552713678800501E-14</v>
      </c>
      <c r="AR6" s="40">
        <f aca="true" t="shared" si="22" ref="AR6:AR23">AQ6*100</f>
        <v>3.552713678800501E-12</v>
      </c>
      <c r="AS6" s="40">
        <f aca="true" t="shared" si="23" ref="AS6:AS23">AR6*$S$14/100</f>
        <v>0</v>
      </c>
      <c r="AU6" s="49">
        <v>-50</v>
      </c>
      <c r="AV6" s="69">
        <f aca="true" t="shared" si="24" ref="AV6:AV23">AV42</f>
        <v>1.4432899320127035E-15</v>
      </c>
      <c r="AW6" s="46">
        <f t="shared" si="5"/>
        <v>1.4432899320127035E-15</v>
      </c>
      <c r="AX6" s="46">
        <f aca="true" t="shared" si="25" ref="AX6:AX23">AW6*100</f>
        <v>1.4432899320127035E-13</v>
      </c>
      <c r="AY6" s="46">
        <f aca="true" t="shared" si="26" ref="AY6:AY23">AX6*$S$16/100</f>
        <v>0</v>
      </c>
      <c r="BA6" s="54">
        <f aca="true" t="shared" si="27" ref="BA6:BA23">BA5+1</f>
        <v>2.00005</v>
      </c>
      <c r="BB6" s="70">
        <f aca="true" t="shared" si="28" ref="BB6:BB23">BB42</f>
        <v>9.992007221626409E-16</v>
      </c>
      <c r="BC6" s="51">
        <f t="shared" si="6"/>
        <v>9.992007221626409E-16</v>
      </c>
      <c r="BD6" s="51">
        <f aca="true" t="shared" si="29" ref="BD6:BD23">BC6*100</f>
        <v>9.992007221626409E-14</v>
      </c>
      <c r="BE6" s="51">
        <f aca="true" t="shared" si="30" ref="BE6:BE23">BD6*$S$18/100</f>
        <v>9.992007221626409E-14</v>
      </c>
      <c r="BG6">
        <f t="shared" si="7"/>
        <v>9.992007221626409E-14</v>
      </c>
      <c r="BI6" s="54">
        <f aca="true" t="shared" si="31" ref="BI6:BI23">BI5+1</f>
        <v>2.00005</v>
      </c>
      <c r="BJ6">
        <v>6.7394869828706245E-06</v>
      </c>
      <c r="BK6">
        <f>Sheet1!Y13</f>
        <v>5.643313407103676E-10</v>
      </c>
      <c r="BL6" s="57">
        <f aca="true" t="shared" si="32" ref="BL6:BL23">BJ6/$BJ$25*100</f>
        <v>6.739486982870627E-06</v>
      </c>
      <c r="BM6" s="61" t="s">
        <v>152</v>
      </c>
      <c r="BN6" s="62"/>
      <c r="BO6" s="62"/>
    </row>
    <row r="7" spans="1:67" ht="15.75">
      <c r="A7" s="24" t="s">
        <v>62</v>
      </c>
      <c r="B7" s="12" t="s">
        <v>271</v>
      </c>
      <c r="F7" s="74"/>
      <c r="G7" t="s">
        <v>138</v>
      </c>
      <c r="M7">
        <v>3</v>
      </c>
      <c r="N7" s="19">
        <f t="shared" si="0"/>
        <v>3.3703373425453265E-09</v>
      </c>
      <c r="O7" s="17">
        <f>N7/100</f>
        <v>3.3703373425453265E-11</v>
      </c>
      <c r="P7" s="19">
        <f>Sheet1!L14*100</f>
        <v>1.2570417203822402E-08</v>
      </c>
      <c r="Q7" s="5" t="s">
        <v>91</v>
      </c>
      <c r="S7" s="5" t="s">
        <v>128</v>
      </c>
      <c r="T7" s="5" t="s">
        <v>201</v>
      </c>
      <c r="U7" s="5" t="s">
        <v>92</v>
      </c>
      <c r="V7" s="5"/>
      <c r="W7" s="28">
        <f t="shared" si="8"/>
        <v>3</v>
      </c>
      <c r="X7" s="65">
        <f t="shared" si="9"/>
        <v>0.0006194267669665798</v>
      </c>
      <c r="Y7" s="25">
        <f t="shared" si="1"/>
        <v>0.0006177331060545077</v>
      </c>
      <c r="Z7" s="25">
        <f t="shared" si="10"/>
        <v>0.06177331060545077</v>
      </c>
      <c r="AA7" s="25">
        <f t="shared" si="11"/>
        <v>0</v>
      </c>
      <c r="AB7" s="5"/>
      <c r="AC7" s="33">
        <f t="shared" si="12"/>
        <v>3.00005</v>
      </c>
      <c r="AD7" s="66">
        <f t="shared" si="13"/>
        <v>0.0005181111906722435</v>
      </c>
      <c r="AE7" s="30">
        <f t="shared" si="2"/>
        <v>0.0005077059043442356</v>
      </c>
      <c r="AF7" s="30">
        <f t="shared" si="14"/>
        <v>0.05077059043442356</v>
      </c>
      <c r="AG7" s="30">
        <f t="shared" si="15"/>
        <v>0</v>
      </c>
      <c r="AH7" s="16"/>
      <c r="AI7" s="38">
        <f t="shared" si="16"/>
        <v>3.00005</v>
      </c>
      <c r="AJ7" s="67">
        <f t="shared" si="17"/>
        <v>5.6371848300429406E-08</v>
      </c>
      <c r="AK7" s="35">
        <f t="shared" si="3"/>
        <v>5.635069522114122E-08</v>
      </c>
      <c r="AL7" s="35">
        <f t="shared" si="18"/>
        <v>5.635069522114122E-06</v>
      </c>
      <c r="AM7" s="35">
        <f t="shared" si="19"/>
        <v>0</v>
      </c>
      <c r="AO7" s="43">
        <f t="shared" si="20"/>
        <v>3.00005</v>
      </c>
      <c r="AP7" s="68">
        <f t="shared" si="21"/>
        <v>4.24451140901283E-10</v>
      </c>
      <c r="AQ7" s="40">
        <f t="shared" si="4"/>
        <v>4.24415613764495E-10</v>
      </c>
      <c r="AR7" s="40">
        <f t="shared" si="22"/>
        <v>4.24415613764495E-08</v>
      </c>
      <c r="AS7" s="40">
        <f t="shared" si="23"/>
        <v>0</v>
      </c>
      <c r="AU7" s="49">
        <f aca="true" t="shared" si="33" ref="AU7:AU23">AU6+1</f>
        <v>-49</v>
      </c>
      <c r="AV7" s="69">
        <f t="shared" si="24"/>
        <v>2.8919977523855778E-11</v>
      </c>
      <c r="AW7" s="46">
        <f t="shared" si="5"/>
        <v>2.8918534233923765E-11</v>
      </c>
      <c r="AX7" s="46">
        <f t="shared" si="25"/>
        <v>2.8918534233923765E-09</v>
      </c>
      <c r="AY7" s="46">
        <f t="shared" si="26"/>
        <v>0</v>
      </c>
      <c r="BA7" s="54">
        <f t="shared" si="27"/>
        <v>3.00005</v>
      </c>
      <c r="BB7" s="70">
        <f t="shared" si="28"/>
        <v>3.370437262617543E-11</v>
      </c>
      <c r="BC7" s="51">
        <f t="shared" si="6"/>
        <v>3.3703373425453265E-11</v>
      </c>
      <c r="BD7" s="51">
        <f t="shared" si="29"/>
        <v>3.3703373425453265E-09</v>
      </c>
      <c r="BE7" s="51">
        <f t="shared" si="30"/>
        <v>3.3703373425453265E-09</v>
      </c>
      <c r="BG7">
        <f t="shared" si="7"/>
        <v>3.3703373425453265E-09</v>
      </c>
      <c r="BI7" s="54">
        <f t="shared" si="31"/>
        <v>3.00005</v>
      </c>
      <c r="BJ7">
        <v>0.003458654054594172</v>
      </c>
      <c r="BK7">
        <f>Sheet1!Y14</f>
        <v>7.31375731971864E-06</v>
      </c>
      <c r="BL7" s="57">
        <f t="shared" si="32"/>
        <v>0.003458654054594173</v>
      </c>
      <c r="BM7" s="61" t="s">
        <v>153</v>
      </c>
      <c r="BN7" s="62"/>
      <c r="BO7" s="62"/>
    </row>
    <row r="8" spans="1:65" ht="16.5" thickBot="1">
      <c r="A8" s="11" t="s">
        <v>93</v>
      </c>
      <c r="B8" s="8"/>
      <c r="C8" s="8"/>
      <c r="G8" t="s">
        <v>139</v>
      </c>
      <c r="M8">
        <f>M7+1</f>
        <v>4</v>
      </c>
      <c r="N8" s="19">
        <f t="shared" si="0"/>
        <v>4.442448875430216E-06</v>
      </c>
      <c r="O8" s="17">
        <f aca="true" t="shared" si="34" ref="O8:O23">N8/100</f>
        <v>4.442448875430216E-08</v>
      </c>
      <c r="P8" s="19">
        <f>Sheet1!L15*100</f>
        <v>1.2593948999532476E-05</v>
      </c>
      <c r="Q8" s="5">
        <f>C14</f>
        <v>0</v>
      </c>
      <c r="R8" s="15" t="s">
        <v>95</v>
      </c>
      <c r="S8" s="6">
        <f>Q8/$Q$20*100</f>
        <v>0</v>
      </c>
      <c r="T8" s="6">
        <f>C11</f>
        <v>200</v>
      </c>
      <c r="U8" s="6">
        <f>C12</f>
        <v>62</v>
      </c>
      <c r="V8" s="5"/>
      <c r="W8" s="28">
        <f t="shared" si="8"/>
        <v>4</v>
      </c>
      <c r="X8" s="65">
        <f t="shared" si="9"/>
        <v>0.020180424938754382</v>
      </c>
      <c r="Y8" s="25">
        <f t="shared" si="1"/>
        <v>0.019560998171787802</v>
      </c>
      <c r="Z8" s="25">
        <f t="shared" si="10"/>
        <v>1.9560998171787802</v>
      </c>
      <c r="AA8" s="25">
        <f t="shared" si="11"/>
        <v>0</v>
      </c>
      <c r="AB8" s="5"/>
      <c r="AC8" s="33">
        <f t="shared" si="12"/>
        <v>4.00005</v>
      </c>
      <c r="AD8" s="66">
        <f t="shared" si="13"/>
        <v>0.006797280434054365</v>
      </c>
      <c r="AE8" s="30">
        <f t="shared" si="2"/>
        <v>0.006279169243382121</v>
      </c>
      <c r="AF8" s="30">
        <f t="shared" si="14"/>
        <v>0.6279169243382121</v>
      </c>
      <c r="AG8" s="30">
        <f t="shared" si="15"/>
        <v>0</v>
      </c>
      <c r="AH8" s="16"/>
      <c r="AI8" s="38">
        <f t="shared" si="16"/>
        <v>4.00005</v>
      </c>
      <c r="AJ8" s="67">
        <f t="shared" si="17"/>
        <v>1.1713453985984223E-05</v>
      </c>
      <c r="AK8" s="35">
        <f t="shared" si="3"/>
        <v>1.1657082137683794E-05</v>
      </c>
      <c r="AL8" s="35">
        <f t="shared" si="18"/>
        <v>0.0011657082137683794</v>
      </c>
      <c r="AM8" s="35">
        <f t="shared" si="19"/>
        <v>0</v>
      </c>
      <c r="AO8" s="43">
        <f t="shared" si="20"/>
        <v>4.00005</v>
      </c>
      <c r="AP8" s="68">
        <f t="shared" si="21"/>
        <v>2.714502511658168E-07</v>
      </c>
      <c r="AQ8" s="40">
        <f t="shared" si="4"/>
        <v>2.710258000249155E-07</v>
      </c>
      <c r="AR8" s="40">
        <f t="shared" si="22"/>
        <v>2.710258000249155E-05</v>
      </c>
      <c r="AS8" s="40">
        <f t="shared" si="23"/>
        <v>0</v>
      </c>
      <c r="AU8" s="49">
        <f t="shared" si="33"/>
        <v>-48</v>
      </c>
      <c r="AV8" s="69">
        <f t="shared" si="24"/>
        <v>2.9101568932432542E-08</v>
      </c>
      <c r="AW8" s="46">
        <f t="shared" si="5"/>
        <v>2.9072648954908686E-08</v>
      </c>
      <c r="AX8" s="46">
        <f t="shared" si="25"/>
        <v>2.9072648954908686E-06</v>
      </c>
      <c r="AY8" s="46">
        <f t="shared" si="26"/>
        <v>0</v>
      </c>
      <c r="BA8" s="54">
        <f t="shared" si="27"/>
        <v>4.00005</v>
      </c>
      <c r="BB8" s="70">
        <f t="shared" si="28"/>
        <v>4.4458193126928336E-08</v>
      </c>
      <c r="BC8" s="51">
        <f t="shared" si="6"/>
        <v>4.442448875430216E-08</v>
      </c>
      <c r="BD8" s="51">
        <f t="shared" si="29"/>
        <v>4.442448875430216E-06</v>
      </c>
      <c r="BE8" s="51">
        <f t="shared" si="30"/>
        <v>4.442448875430216E-06</v>
      </c>
      <c r="BG8">
        <f t="shared" si="7"/>
        <v>4.442448875430216E-06</v>
      </c>
      <c r="BI8" s="54">
        <f t="shared" si="31"/>
        <v>4.00005</v>
      </c>
      <c r="BJ8">
        <v>0.16170967063081082</v>
      </c>
      <c r="BK8">
        <f>Sheet1!Y15</f>
        <v>0.0029960584560734813</v>
      </c>
      <c r="BL8" s="57">
        <f t="shared" si="32"/>
        <v>0.1617096706308109</v>
      </c>
      <c r="BM8" s="51"/>
    </row>
    <row r="9" spans="1:65" ht="13.5" thickBot="1">
      <c r="A9" t="s">
        <v>94</v>
      </c>
      <c r="H9" s="88" t="s">
        <v>134</v>
      </c>
      <c r="M9">
        <f aca="true" t="shared" si="35" ref="M9:M23">M8+1</f>
        <v>5</v>
      </c>
      <c r="N9" s="19">
        <f t="shared" si="0"/>
        <v>0.0007570393902422978</v>
      </c>
      <c r="O9" s="17">
        <f t="shared" si="34"/>
        <v>7.570393902422978E-06</v>
      </c>
      <c r="P9" s="19">
        <f>Sheet1!L16*100</f>
        <v>0.001732090962101179</v>
      </c>
      <c r="Q9" s="5"/>
      <c r="R9" s="15"/>
      <c r="S9" s="6"/>
      <c r="T9" s="8"/>
      <c r="U9" s="8"/>
      <c r="V9" s="5"/>
      <c r="W9" s="28">
        <f t="shared" si="8"/>
        <v>5</v>
      </c>
      <c r="X9" s="65">
        <f t="shared" si="9"/>
        <v>0.15241580635967056</v>
      </c>
      <c r="Y9" s="25">
        <f t="shared" si="1"/>
        <v>0.13223538142091618</v>
      </c>
      <c r="Z9" s="25">
        <f t="shared" si="10"/>
        <v>13.223538142091618</v>
      </c>
      <c r="AA9" s="25">
        <f t="shared" si="11"/>
        <v>0</v>
      </c>
      <c r="AB9" s="5"/>
      <c r="AC9" s="33">
        <f t="shared" si="12"/>
        <v>5.00005</v>
      </c>
      <c r="AD9" s="66">
        <f t="shared" si="13"/>
        <v>0.03899717188001628</v>
      </c>
      <c r="AE9" s="30">
        <f t="shared" si="2"/>
        <v>0.032199891445961915</v>
      </c>
      <c r="AF9" s="30">
        <f t="shared" si="14"/>
        <v>3.2199891445961915</v>
      </c>
      <c r="AG9" s="30">
        <f t="shared" si="15"/>
        <v>0</v>
      </c>
      <c r="AH9" s="16"/>
      <c r="AI9" s="38">
        <f t="shared" si="16"/>
        <v>5.00005</v>
      </c>
      <c r="AJ9" s="67">
        <f t="shared" si="17"/>
        <v>0.0004903701382032999</v>
      </c>
      <c r="AK9" s="35">
        <f t="shared" si="3"/>
        <v>0.00047865668421731566</v>
      </c>
      <c r="AL9" s="35">
        <f t="shared" si="18"/>
        <v>0.047865668421731566</v>
      </c>
      <c r="AM9" s="35">
        <f t="shared" si="19"/>
        <v>0</v>
      </c>
      <c r="AO9" s="43">
        <f t="shared" si="20"/>
        <v>5.00005</v>
      </c>
      <c r="AP9" s="68">
        <f t="shared" si="21"/>
        <v>2.741337797129706E-05</v>
      </c>
      <c r="AQ9" s="40">
        <f t="shared" si="4"/>
        <v>2.7141927720131243E-05</v>
      </c>
      <c r="AR9" s="40">
        <f t="shared" si="22"/>
        <v>0.0027141927720131243</v>
      </c>
      <c r="AS9" s="40">
        <f t="shared" si="23"/>
        <v>0</v>
      </c>
      <c r="AU9" s="49">
        <f t="shared" si="33"/>
        <v>-47</v>
      </c>
      <c r="AV9" s="69">
        <f t="shared" si="24"/>
        <v>4.337457297665104E-06</v>
      </c>
      <c r="AW9" s="46">
        <f t="shared" si="5"/>
        <v>4.308355728732671E-06</v>
      </c>
      <c r="AX9" s="46">
        <f t="shared" si="25"/>
        <v>0.0004308355728732671</v>
      </c>
      <c r="AY9" s="46">
        <f t="shared" si="26"/>
        <v>0</v>
      </c>
      <c r="BA9" s="54">
        <f t="shared" si="27"/>
        <v>5.00005</v>
      </c>
      <c r="BB9" s="70">
        <f t="shared" si="28"/>
        <v>7.614852095549907E-06</v>
      </c>
      <c r="BC9" s="51">
        <f t="shared" si="6"/>
        <v>7.570393902422978E-06</v>
      </c>
      <c r="BD9" s="51">
        <f t="shared" si="29"/>
        <v>0.0007570393902422978</v>
      </c>
      <c r="BE9" s="51">
        <f t="shared" si="30"/>
        <v>0.0007570393902422978</v>
      </c>
      <c r="BG9">
        <f t="shared" si="7"/>
        <v>0.0007570393902422978</v>
      </c>
      <c r="BI9" s="54">
        <f t="shared" si="31"/>
        <v>5.00005</v>
      </c>
      <c r="BJ9">
        <v>2.097110743767809</v>
      </c>
      <c r="BK9">
        <f>Sheet1!Y16</f>
        <v>0.17936716428640068</v>
      </c>
      <c r="BL9" s="57">
        <f t="shared" si="32"/>
        <v>2.09711074376781</v>
      </c>
      <c r="BM9" s="51"/>
    </row>
    <row r="10" spans="1:65" ht="13.5" thickBot="1">
      <c r="A10" s="56" t="s">
        <v>28</v>
      </c>
      <c r="C10" s="84" t="s">
        <v>95</v>
      </c>
      <c r="D10" s="84" t="s">
        <v>103</v>
      </c>
      <c r="E10" s="84" t="s">
        <v>104</v>
      </c>
      <c r="F10" s="84" t="s">
        <v>102</v>
      </c>
      <c r="G10" s="87" t="s">
        <v>88</v>
      </c>
      <c r="H10" s="89" t="s">
        <v>135</v>
      </c>
      <c r="M10">
        <f t="shared" si="35"/>
        <v>6</v>
      </c>
      <c r="N10" s="19">
        <f t="shared" si="0"/>
        <v>0.03052969273099615</v>
      </c>
      <c r="O10" s="17">
        <f t="shared" si="34"/>
        <v>0.0003052969273099615</v>
      </c>
      <c r="P10" s="19">
        <f>Sheet1!L17*100</f>
        <v>0.0585889531846847</v>
      </c>
      <c r="Q10" s="5">
        <f>D14</f>
        <v>0</v>
      </c>
      <c r="R10" s="16" t="s">
        <v>124</v>
      </c>
      <c r="S10" s="6">
        <f aca="true" t="shared" si="36" ref="S10:S18">Q10/$Q$20*100</f>
        <v>0</v>
      </c>
      <c r="T10" s="8">
        <f>D11</f>
        <v>295</v>
      </c>
      <c r="U10" s="8">
        <f>D12</f>
        <v>90</v>
      </c>
      <c r="V10" s="5"/>
      <c r="W10" s="28">
        <f t="shared" si="8"/>
        <v>6</v>
      </c>
      <c r="X10" s="65">
        <f t="shared" si="9"/>
        <v>0.4522561303720375</v>
      </c>
      <c r="Y10" s="25">
        <f t="shared" si="1"/>
        <v>0.29984032401236693</v>
      </c>
      <c r="Z10" s="25">
        <f t="shared" si="10"/>
        <v>29.984032401236693</v>
      </c>
      <c r="AA10" s="25">
        <f t="shared" si="11"/>
        <v>0</v>
      </c>
      <c r="AB10" s="5"/>
      <c r="AC10" s="33">
        <f t="shared" si="12"/>
        <v>6.00005</v>
      </c>
      <c r="AD10" s="66">
        <f t="shared" si="13"/>
        <v>0.12751920201459233</v>
      </c>
      <c r="AE10" s="30">
        <f t="shared" si="2"/>
        <v>0.08852203013457605</v>
      </c>
      <c r="AF10" s="30">
        <f t="shared" si="14"/>
        <v>8.852203013457604</v>
      </c>
      <c r="AG10" s="30">
        <f t="shared" si="15"/>
        <v>0</v>
      </c>
      <c r="AH10" s="16"/>
      <c r="AI10" s="38">
        <f t="shared" si="16"/>
        <v>6.00005</v>
      </c>
      <c r="AJ10" s="67">
        <f t="shared" si="17"/>
        <v>0.006759073486238942</v>
      </c>
      <c r="AK10" s="35">
        <f t="shared" si="3"/>
        <v>0.0062687033480356424</v>
      </c>
      <c r="AL10" s="35">
        <f t="shared" si="18"/>
        <v>0.6268703348035642</v>
      </c>
      <c r="AM10" s="35">
        <f t="shared" si="19"/>
        <v>0</v>
      </c>
      <c r="AO10" s="43">
        <f t="shared" si="20"/>
        <v>6.00005</v>
      </c>
      <c r="AP10" s="68">
        <f t="shared" si="21"/>
        <v>0.0007627561766306856</v>
      </c>
      <c r="AQ10" s="40">
        <f t="shared" si="4"/>
        <v>0.0007353427986593886</v>
      </c>
      <c r="AR10" s="40">
        <f t="shared" si="22"/>
        <v>0.07353427986593886</v>
      </c>
      <c r="AS10" s="40">
        <f t="shared" si="23"/>
        <v>0</v>
      </c>
      <c r="AU10" s="49">
        <f t="shared" si="33"/>
        <v>-46</v>
      </c>
      <c r="AV10" s="69">
        <f t="shared" si="24"/>
        <v>0.00016944665393747727</v>
      </c>
      <c r="AW10" s="46">
        <f t="shared" si="5"/>
        <v>0.00016510919663981216</v>
      </c>
      <c r="AX10" s="46">
        <f t="shared" si="25"/>
        <v>0.016510919663981216</v>
      </c>
      <c r="AY10" s="46">
        <f t="shared" si="26"/>
        <v>0</v>
      </c>
      <c r="BA10" s="54">
        <f t="shared" si="27"/>
        <v>6.00005</v>
      </c>
      <c r="BB10" s="70">
        <f t="shared" si="28"/>
        <v>0.0003129117794055114</v>
      </c>
      <c r="BC10" s="51">
        <f t="shared" si="6"/>
        <v>0.0003052969273099615</v>
      </c>
      <c r="BD10" s="51">
        <f t="shared" si="29"/>
        <v>0.03052969273099615</v>
      </c>
      <c r="BE10" s="51">
        <f t="shared" si="30"/>
        <v>0.03052969273099615</v>
      </c>
      <c r="BG10">
        <f t="shared" si="7"/>
        <v>0.03052969273099615</v>
      </c>
      <c r="BI10" s="54">
        <f t="shared" si="31"/>
        <v>6.00005</v>
      </c>
      <c r="BJ10">
        <v>9.984407448830652</v>
      </c>
      <c r="BK10">
        <f>Sheet1!Y17</f>
        <v>2.5443637857006784</v>
      </c>
      <c r="BL10" s="57">
        <f t="shared" si="32"/>
        <v>9.984407448830657</v>
      </c>
      <c r="BM10" s="51"/>
    </row>
    <row r="11" spans="1:64" ht="13.5" thickBot="1">
      <c r="A11" s="56" t="s">
        <v>206</v>
      </c>
      <c r="C11" s="109">
        <v>200</v>
      </c>
      <c r="D11" s="109">
        <v>295</v>
      </c>
      <c r="E11" s="109">
        <v>360.51</v>
      </c>
      <c r="F11" s="109">
        <v>398.6</v>
      </c>
      <c r="G11" s="109">
        <v>425.5</v>
      </c>
      <c r="H11" s="191">
        <v>404.820031950439</v>
      </c>
      <c r="M11">
        <f t="shared" si="35"/>
        <v>7</v>
      </c>
      <c r="N11" s="19">
        <f t="shared" si="0"/>
        <v>0.36869385235877017</v>
      </c>
      <c r="O11" s="17">
        <f t="shared" si="34"/>
        <v>0.0036869385235877017</v>
      </c>
      <c r="P11" s="19">
        <f>Sheet1!L18*100</f>
        <v>0.6096202457725798</v>
      </c>
      <c r="Q11" s="5"/>
      <c r="R11" s="16"/>
      <c r="S11" s="6"/>
      <c r="T11" s="8"/>
      <c r="U11" s="8"/>
      <c r="V11" s="5"/>
      <c r="W11" s="28">
        <f t="shared" si="8"/>
        <v>7</v>
      </c>
      <c r="X11" s="65">
        <f t="shared" si="9"/>
        <v>0.7417998644958104</v>
      </c>
      <c r="Y11" s="25">
        <f t="shared" si="1"/>
        <v>0.2895437341237729</v>
      </c>
      <c r="Z11" s="25">
        <f t="shared" si="10"/>
        <v>28.954373412377286</v>
      </c>
      <c r="AA11" s="25">
        <f t="shared" si="11"/>
        <v>0</v>
      </c>
      <c r="AB11" s="5"/>
      <c r="AC11" s="33">
        <f t="shared" si="12"/>
        <v>7.00005</v>
      </c>
      <c r="AD11" s="66">
        <f t="shared" si="13"/>
        <v>0.2714170321351417</v>
      </c>
      <c r="AE11" s="30">
        <f t="shared" si="2"/>
        <v>0.14389783012054935</v>
      </c>
      <c r="AF11" s="30">
        <f t="shared" si="14"/>
        <v>14.389783012054934</v>
      </c>
      <c r="AG11" s="30">
        <f t="shared" si="15"/>
        <v>0</v>
      </c>
      <c r="AH11" s="16"/>
      <c r="AI11" s="38">
        <f t="shared" si="16"/>
        <v>7.00005</v>
      </c>
      <c r="AJ11" s="67">
        <f t="shared" si="17"/>
        <v>0.038464133746705986</v>
      </c>
      <c r="AK11" s="35">
        <f t="shared" si="3"/>
        <v>0.031705060260467044</v>
      </c>
      <c r="AL11" s="35">
        <f t="shared" si="18"/>
        <v>3.1705060260467044</v>
      </c>
      <c r="AM11" s="35">
        <f t="shared" si="19"/>
        <v>0</v>
      </c>
      <c r="AO11" s="43">
        <f t="shared" si="20"/>
        <v>7.00005</v>
      </c>
      <c r="AP11" s="68">
        <f t="shared" si="21"/>
        <v>0.007416521103309481</v>
      </c>
      <c r="AQ11" s="40">
        <f t="shared" si="4"/>
        <v>0.006653764926678796</v>
      </c>
      <c r="AR11" s="40">
        <f t="shared" si="22"/>
        <v>0.6653764926678796</v>
      </c>
      <c r="AS11" s="40">
        <f t="shared" si="23"/>
        <v>0</v>
      </c>
      <c r="AU11" s="49">
        <f t="shared" si="33"/>
        <v>-45</v>
      </c>
      <c r="AV11" s="69">
        <f t="shared" si="24"/>
        <v>0.0021841284425270224</v>
      </c>
      <c r="AW11" s="46">
        <f t="shared" si="5"/>
        <v>0.002014681788589545</v>
      </c>
      <c r="AX11" s="46">
        <f t="shared" si="25"/>
        <v>0.20146817885895452</v>
      </c>
      <c r="AY11" s="46">
        <f t="shared" si="26"/>
        <v>0</v>
      </c>
      <c r="BA11" s="54">
        <f t="shared" si="27"/>
        <v>7.00005</v>
      </c>
      <c r="BB11" s="70">
        <f t="shared" si="28"/>
        <v>0.003999850302993213</v>
      </c>
      <c r="BC11" s="51">
        <f t="shared" si="6"/>
        <v>0.0036869385235877017</v>
      </c>
      <c r="BD11" s="51">
        <f t="shared" si="29"/>
        <v>0.36869385235877017</v>
      </c>
      <c r="BE11" s="51">
        <f t="shared" si="30"/>
        <v>0.36869385235877017</v>
      </c>
      <c r="BG11">
        <f t="shared" si="7"/>
        <v>0.36869385235877017</v>
      </c>
      <c r="BI11" s="54">
        <f t="shared" si="31"/>
        <v>7.00005</v>
      </c>
      <c r="BJ11">
        <v>20.490981607950275</v>
      </c>
      <c r="BK11">
        <f>Sheet1!Y18</f>
        <v>11.069459694189737</v>
      </c>
      <c r="BL11" s="57">
        <f t="shared" si="32"/>
        <v>20.490981607950285</v>
      </c>
    </row>
    <row r="12" spans="1:64" ht="13.5" thickBot="1">
      <c r="A12" s="56" t="s">
        <v>209</v>
      </c>
      <c r="C12" s="109">
        <v>62</v>
      </c>
      <c r="D12" s="109">
        <v>90</v>
      </c>
      <c r="E12" s="109">
        <v>68</v>
      </c>
      <c r="F12" s="109">
        <v>65</v>
      </c>
      <c r="G12" s="109">
        <v>65</v>
      </c>
      <c r="H12" s="192">
        <v>62.059820246468504</v>
      </c>
      <c r="M12">
        <f t="shared" si="35"/>
        <v>8</v>
      </c>
      <c r="N12" s="19">
        <f t="shared" si="0"/>
        <v>2.1521331474805283</v>
      </c>
      <c r="O12" s="17">
        <f t="shared" si="34"/>
        <v>0.021521331474805283</v>
      </c>
      <c r="P12" s="19">
        <f>Sheet1!L19*100</f>
        <v>3.1272072945502</v>
      </c>
      <c r="Q12" s="5">
        <f>E14</f>
        <v>0</v>
      </c>
      <c r="R12" s="16" t="s">
        <v>125</v>
      </c>
      <c r="S12" s="6">
        <f t="shared" si="36"/>
        <v>0</v>
      </c>
      <c r="T12" s="8">
        <f>E11</f>
        <v>360.51</v>
      </c>
      <c r="U12" s="8">
        <f>E12</f>
        <v>68</v>
      </c>
      <c r="V12" s="5"/>
      <c r="W12" s="28">
        <f t="shared" si="8"/>
        <v>8</v>
      </c>
      <c r="X12" s="65">
        <f t="shared" si="9"/>
        <v>0.9115791825064489</v>
      </c>
      <c r="Y12" s="25">
        <f t="shared" si="1"/>
        <v>0.1697793180106385</v>
      </c>
      <c r="Z12" s="25">
        <f t="shared" si="10"/>
        <v>16.97793180106385</v>
      </c>
      <c r="AA12" s="25">
        <f t="shared" si="11"/>
        <v>0</v>
      </c>
      <c r="AB12" s="5"/>
      <c r="AC12" s="33">
        <f t="shared" si="12"/>
        <v>8.00005</v>
      </c>
      <c r="AD12" s="66">
        <f t="shared" si="13"/>
        <v>0.4501901983721245</v>
      </c>
      <c r="AE12" s="30">
        <f t="shared" si="2"/>
        <v>0.1787731662369828</v>
      </c>
      <c r="AF12" s="30">
        <f t="shared" si="14"/>
        <v>17.87731662369828</v>
      </c>
      <c r="AG12" s="30">
        <f t="shared" si="15"/>
        <v>0</v>
      </c>
      <c r="AH12" s="16"/>
      <c r="AI12" s="38">
        <f t="shared" si="16"/>
        <v>8.00005</v>
      </c>
      <c r="AJ12" s="67">
        <f t="shared" si="17"/>
        <v>0.12943573585171708</v>
      </c>
      <c r="AK12" s="35">
        <f t="shared" si="3"/>
        <v>0.0909716021050111</v>
      </c>
      <c r="AL12" s="35">
        <f t="shared" si="18"/>
        <v>9.097160210501109</v>
      </c>
      <c r="AM12" s="35">
        <f t="shared" si="19"/>
        <v>0</v>
      </c>
      <c r="AO12" s="43">
        <f t="shared" si="20"/>
        <v>8.00005</v>
      </c>
      <c r="AP12" s="68">
        <f t="shared" si="21"/>
        <v>0.03859955692712602</v>
      </c>
      <c r="AQ12" s="40">
        <f t="shared" si="4"/>
        <v>0.03118303582381654</v>
      </c>
      <c r="AR12" s="40">
        <f t="shared" si="22"/>
        <v>3.118303582381654</v>
      </c>
      <c r="AS12" s="40">
        <f t="shared" si="23"/>
        <v>0</v>
      </c>
      <c r="AU12" s="49">
        <f t="shared" si="33"/>
        <v>-44</v>
      </c>
      <c r="AV12" s="69">
        <f t="shared" si="24"/>
        <v>0.014590936583807945</v>
      </c>
      <c r="AW12" s="46">
        <f t="shared" si="5"/>
        <v>0.012406808141280923</v>
      </c>
      <c r="AX12" s="46">
        <f t="shared" si="25"/>
        <v>1.2406808141280923</v>
      </c>
      <c r="AY12" s="46">
        <f t="shared" si="26"/>
        <v>0</v>
      </c>
      <c r="BA12" s="54">
        <f t="shared" si="27"/>
        <v>8.00005</v>
      </c>
      <c r="BB12" s="70">
        <f t="shared" si="28"/>
        <v>0.025521181777798496</v>
      </c>
      <c r="BC12" s="51">
        <f t="shared" si="6"/>
        <v>0.021521331474805283</v>
      </c>
      <c r="BD12" s="51">
        <f t="shared" si="29"/>
        <v>2.1521331474805283</v>
      </c>
      <c r="BE12" s="51">
        <f t="shared" si="30"/>
        <v>2.1521331474805283</v>
      </c>
      <c r="BG12">
        <f t="shared" si="7"/>
        <v>2.1521331474805283</v>
      </c>
      <c r="BI12" s="54">
        <f t="shared" si="31"/>
        <v>8.00005</v>
      </c>
      <c r="BJ12">
        <v>25.808426439849434</v>
      </c>
      <c r="BK12">
        <f>Sheet1!Y19</f>
        <v>23.664570120744234</v>
      </c>
      <c r="BL12" s="57">
        <f t="shared" si="32"/>
        <v>25.80842643984945</v>
      </c>
    </row>
    <row r="13" spans="1:65" ht="16.5" thickBot="1">
      <c r="A13" s="22" t="s">
        <v>122</v>
      </c>
      <c r="B13" s="6"/>
      <c r="C13" s="110"/>
      <c r="D13" s="110"/>
      <c r="E13" s="110"/>
      <c r="F13" s="110"/>
      <c r="G13" s="110"/>
      <c r="H13" s="110"/>
      <c r="M13">
        <f t="shared" si="35"/>
        <v>9</v>
      </c>
      <c r="N13" s="19">
        <f t="shared" si="0"/>
        <v>6.560421645474712</v>
      </c>
      <c r="O13" s="17">
        <f t="shared" si="34"/>
        <v>0.06560421645474712</v>
      </c>
      <c r="P13" s="19">
        <f>Sheet1!L20*100</f>
        <v>8.505730884671106</v>
      </c>
      <c r="Q13" s="5"/>
      <c r="R13" s="16"/>
      <c r="S13" s="6"/>
      <c r="T13" s="8"/>
      <c r="U13" s="8"/>
      <c r="V13" s="5"/>
      <c r="W13" s="29">
        <f t="shared" si="8"/>
        <v>9</v>
      </c>
      <c r="X13" s="65">
        <f t="shared" si="9"/>
        <v>0.9754893286260496</v>
      </c>
      <c r="Y13" s="25">
        <f t="shared" si="1"/>
        <v>0.06391014611960077</v>
      </c>
      <c r="Z13" s="25">
        <f t="shared" si="10"/>
        <v>6.3910146119600775</v>
      </c>
      <c r="AA13" s="25">
        <f t="shared" si="11"/>
        <v>0</v>
      </c>
      <c r="AB13" s="5"/>
      <c r="AC13" s="34">
        <f t="shared" si="12"/>
        <v>9.00005</v>
      </c>
      <c r="AD13" s="66">
        <f t="shared" si="13"/>
        <v>0.6180854958667175</v>
      </c>
      <c r="AE13" s="30">
        <f t="shared" si="2"/>
        <v>0.16789529749459298</v>
      </c>
      <c r="AF13" s="30">
        <f t="shared" si="14"/>
        <v>16.789529749459298</v>
      </c>
      <c r="AG13" s="30">
        <f t="shared" si="15"/>
        <v>0</v>
      </c>
      <c r="AH13" s="16"/>
      <c r="AI13" s="39">
        <f t="shared" si="16"/>
        <v>9.00005</v>
      </c>
      <c r="AJ13" s="67">
        <f t="shared" si="17"/>
        <v>0.28579230979864023</v>
      </c>
      <c r="AK13" s="35">
        <f t="shared" si="3"/>
        <v>0.15635657394692315</v>
      </c>
      <c r="AL13" s="35">
        <f t="shared" si="18"/>
        <v>15.635657394692315</v>
      </c>
      <c r="AM13" s="35">
        <f t="shared" si="19"/>
        <v>0</v>
      </c>
      <c r="AO13" s="44">
        <f t="shared" si="20"/>
        <v>9.00005</v>
      </c>
      <c r="AP13" s="68">
        <f t="shared" si="21"/>
        <v>0.11943239261793848</v>
      </c>
      <c r="AQ13" s="40">
        <f t="shared" si="4"/>
        <v>0.08083283569081245</v>
      </c>
      <c r="AR13" s="40">
        <f t="shared" si="22"/>
        <v>8.083283569081246</v>
      </c>
      <c r="AS13" s="40">
        <f t="shared" si="23"/>
        <v>0</v>
      </c>
      <c r="AU13" s="50">
        <f t="shared" si="33"/>
        <v>-43</v>
      </c>
      <c r="AV13" s="69">
        <f t="shared" si="24"/>
        <v>0.05572882443411975</v>
      </c>
      <c r="AW13" s="46">
        <f t="shared" si="5"/>
        <v>0.041137887850311805</v>
      </c>
      <c r="AX13" s="46">
        <f t="shared" si="25"/>
        <v>4.113788785031181</v>
      </c>
      <c r="AY13" s="46">
        <f t="shared" si="26"/>
        <v>0</v>
      </c>
      <c r="BA13" s="55">
        <f t="shared" si="27"/>
        <v>9.00005</v>
      </c>
      <c r="BB13" s="70">
        <f t="shared" si="28"/>
        <v>0.09112539823254562</v>
      </c>
      <c r="BC13" s="51">
        <f t="shared" si="6"/>
        <v>0.06560421645474712</v>
      </c>
      <c r="BD13" s="51">
        <f t="shared" si="29"/>
        <v>6.560421645474712</v>
      </c>
      <c r="BE13" s="51">
        <f t="shared" si="30"/>
        <v>6.560421645474712</v>
      </c>
      <c r="BG13">
        <f t="shared" si="7"/>
        <v>6.560421645474712</v>
      </c>
      <c r="BI13" s="55">
        <f t="shared" si="31"/>
        <v>9.00005</v>
      </c>
      <c r="BJ13">
        <v>20.45251520167341</v>
      </c>
      <c r="BK13">
        <f>Sheet1!Y20</f>
        <v>26.67356939736981</v>
      </c>
      <c r="BL13" s="57">
        <f t="shared" si="32"/>
        <v>20.452515201673418</v>
      </c>
      <c r="BM13" s="51"/>
    </row>
    <row r="14" spans="1:65" ht="14.25" thickBot="1" thickTop="1">
      <c r="A14" s="6"/>
      <c r="B14" s="6" t="s">
        <v>123</v>
      </c>
      <c r="C14" s="145">
        <v>0</v>
      </c>
      <c r="D14" s="145">
        <v>0</v>
      </c>
      <c r="E14" s="145">
        <v>0</v>
      </c>
      <c r="F14" s="145">
        <v>0</v>
      </c>
      <c r="G14" s="145">
        <v>0</v>
      </c>
      <c r="H14" s="145">
        <v>1</v>
      </c>
      <c r="M14">
        <f t="shared" si="35"/>
        <v>10</v>
      </c>
      <c r="N14" s="19">
        <f t="shared" si="0"/>
        <v>13.185399194180947</v>
      </c>
      <c r="O14" s="17">
        <f t="shared" si="34"/>
        <v>0.13185399194180947</v>
      </c>
      <c r="P14" s="19">
        <f>Sheet1!L21*100</f>
        <v>15.43802293171991</v>
      </c>
      <c r="Q14" s="5">
        <f>F14</f>
        <v>0</v>
      </c>
      <c r="R14" s="16" t="s">
        <v>126</v>
      </c>
      <c r="S14" s="6">
        <f t="shared" si="36"/>
        <v>0</v>
      </c>
      <c r="T14" s="8">
        <f>F11</f>
        <v>398.6</v>
      </c>
      <c r="U14" s="8">
        <f>F12</f>
        <v>65</v>
      </c>
      <c r="V14" s="5"/>
      <c r="W14" s="29">
        <f t="shared" si="8"/>
        <v>10</v>
      </c>
      <c r="X14" s="65">
        <f t="shared" si="9"/>
        <v>0.9944675537982387</v>
      </c>
      <c r="Y14" s="25">
        <f t="shared" si="1"/>
        <v>0.018978225172189056</v>
      </c>
      <c r="Z14" s="25">
        <f t="shared" si="10"/>
        <v>1.8978225172189056</v>
      </c>
      <c r="AA14" s="25">
        <f t="shared" si="11"/>
        <v>0</v>
      </c>
      <c r="AB14" s="5"/>
      <c r="AC14" s="34">
        <f t="shared" si="12"/>
        <v>10.00005</v>
      </c>
      <c r="AD14" s="66">
        <f t="shared" si="13"/>
        <v>0.7563677452185129</v>
      </c>
      <c r="AE14" s="30">
        <f t="shared" si="2"/>
        <v>0.13828224935179545</v>
      </c>
      <c r="AF14" s="30">
        <f t="shared" si="14"/>
        <v>13.828224935179545</v>
      </c>
      <c r="AG14" s="30">
        <f t="shared" si="15"/>
        <v>0</v>
      </c>
      <c r="AH14" s="16"/>
      <c r="AI14" s="39">
        <f t="shared" si="16"/>
        <v>10.00005</v>
      </c>
      <c r="AJ14" s="67">
        <f t="shared" si="17"/>
        <v>0.482463494306532</v>
      </c>
      <c r="AK14" s="35">
        <f t="shared" si="3"/>
        <v>0.19667118450789178</v>
      </c>
      <c r="AL14" s="35">
        <f t="shared" si="18"/>
        <v>19.66711845078918</v>
      </c>
      <c r="AM14" s="35">
        <f t="shared" si="19"/>
        <v>0</v>
      </c>
      <c r="AO14" s="44">
        <f t="shared" si="20"/>
        <v>10.00005</v>
      </c>
      <c r="AP14" s="68">
        <f t="shared" si="21"/>
        <v>0.2636930625073328</v>
      </c>
      <c r="AQ14" s="40">
        <f t="shared" si="4"/>
        <v>0.14426066988939434</v>
      </c>
      <c r="AR14" s="40">
        <f t="shared" si="22"/>
        <v>14.426066988939434</v>
      </c>
      <c r="AS14" s="40">
        <f t="shared" si="23"/>
        <v>0</v>
      </c>
      <c r="AU14" s="50">
        <f t="shared" si="33"/>
        <v>-42</v>
      </c>
      <c r="AV14" s="69">
        <f t="shared" si="24"/>
        <v>0.14781583572800572</v>
      </c>
      <c r="AW14" s="46">
        <f t="shared" si="5"/>
        <v>0.09208701129388597</v>
      </c>
      <c r="AX14" s="46">
        <f t="shared" si="25"/>
        <v>9.208701129388597</v>
      </c>
      <c r="AY14" s="46">
        <f t="shared" si="26"/>
        <v>0</v>
      </c>
      <c r="BA14" s="55">
        <f t="shared" si="27"/>
        <v>10.00005</v>
      </c>
      <c r="BB14" s="70">
        <f t="shared" si="28"/>
        <v>0.22297939017435509</v>
      </c>
      <c r="BC14" s="51">
        <f t="shared" si="6"/>
        <v>0.13185399194180947</v>
      </c>
      <c r="BD14" s="51">
        <f t="shared" si="29"/>
        <v>13.185399194180947</v>
      </c>
      <c r="BE14" s="51">
        <f t="shared" si="30"/>
        <v>13.185399194180947</v>
      </c>
      <c r="BG14">
        <f t="shared" si="7"/>
        <v>13.185399194180947</v>
      </c>
      <c r="BI14" s="55">
        <f t="shared" si="31"/>
        <v>10.00005</v>
      </c>
      <c r="BJ14">
        <v>12.263251204745636</v>
      </c>
      <c r="BK14">
        <f>Sheet1!Y21</f>
        <v>19.909159111837837</v>
      </c>
      <c r="BL14" s="57">
        <f t="shared" si="32"/>
        <v>12.263251204745641</v>
      </c>
      <c r="BM14" s="51"/>
    </row>
    <row r="15" spans="1:65" ht="14.25" thickBot="1" thickTop="1">
      <c r="A15" s="56"/>
      <c r="B15" s="56"/>
      <c r="C15" s="105"/>
      <c r="D15" s="105"/>
      <c r="E15" s="105"/>
      <c r="F15" s="105"/>
      <c r="G15" s="105"/>
      <c r="H15" s="105"/>
      <c r="M15">
        <f t="shared" si="35"/>
        <v>11</v>
      </c>
      <c r="N15" s="19">
        <f t="shared" si="0"/>
        <v>18.63909772982213</v>
      </c>
      <c r="O15" s="17">
        <f t="shared" si="34"/>
        <v>0.1863909772982213</v>
      </c>
      <c r="P15" s="19">
        <f>Sheet1!L22*100</f>
        <v>19.901411731868414</v>
      </c>
      <c r="Q15" s="5"/>
      <c r="R15" s="16"/>
      <c r="S15" s="6"/>
      <c r="T15" s="8"/>
      <c r="U15" s="8"/>
      <c r="V15" s="5"/>
      <c r="W15" s="29">
        <f t="shared" si="8"/>
        <v>11</v>
      </c>
      <c r="X15" s="65">
        <f t="shared" si="9"/>
        <v>0.998944460235573</v>
      </c>
      <c r="Y15" s="25">
        <f t="shared" si="1"/>
        <v>0.004476906437334338</v>
      </c>
      <c r="Z15" s="25">
        <f t="shared" si="10"/>
        <v>0.4476906437334338</v>
      </c>
      <c r="AA15" s="25">
        <f t="shared" si="11"/>
        <v>0</v>
      </c>
      <c r="AB15" s="5"/>
      <c r="AC15" s="34">
        <f t="shared" si="12"/>
        <v>11.00005</v>
      </c>
      <c r="AD15" s="66">
        <f t="shared" si="13"/>
        <v>0.8559277519471713</v>
      </c>
      <c r="AE15" s="30">
        <f t="shared" si="2"/>
        <v>0.09956000672865839</v>
      </c>
      <c r="AF15" s="30">
        <f t="shared" si="14"/>
        <v>9.956000672865839</v>
      </c>
      <c r="AG15" s="30">
        <f t="shared" si="15"/>
        <v>0</v>
      </c>
      <c r="AH15" s="16"/>
      <c r="AI15" s="39">
        <f t="shared" si="16"/>
        <v>11.00005</v>
      </c>
      <c r="AJ15" s="67">
        <f t="shared" si="17"/>
        <v>0.670926107023899</v>
      </c>
      <c r="AK15" s="35">
        <f t="shared" si="3"/>
        <v>0.18846261271736697</v>
      </c>
      <c r="AL15" s="35">
        <f t="shared" si="18"/>
        <v>18.846261271736697</v>
      </c>
      <c r="AM15" s="35">
        <f t="shared" si="19"/>
        <v>0</v>
      </c>
      <c r="AO15" s="44">
        <f t="shared" si="20"/>
        <v>11.00005</v>
      </c>
      <c r="AP15" s="68">
        <f t="shared" si="21"/>
        <v>0.4510114251161881</v>
      </c>
      <c r="AQ15" s="40">
        <f t="shared" si="4"/>
        <v>0.18731836260885526</v>
      </c>
      <c r="AR15" s="40">
        <f t="shared" si="22"/>
        <v>18.731836260885526</v>
      </c>
      <c r="AS15" s="40">
        <f t="shared" si="23"/>
        <v>0</v>
      </c>
      <c r="AU15" s="50">
        <f t="shared" si="33"/>
        <v>-41</v>
      </c>
      <c r="AV15" s="69">
        <f t="shared" si="24"/>
        <v>0.2956502080708605</v>
      </c>
      <c r="AW15" s="46">
        <f t="shared" si="5"/>
        <v>0.1478343723428548</v>
      </c>
      <c r="AX15" s="46">
        <f t="shared" si="25"/>
        <v>14.78343723428548</v>
      </c>
      <c r="AY15" s="46">
        <f t="shared" si="26"/>
        <v>0</v>
      </c>
      <c r="BA15" s="55">
        <f t="shared" si="27"/>
        <v>11.00005</v>
      </c>
      <c r="BB15" s="70">
        <f t="shared" si="28"/>
        <v>0.4093703674725764</v>
      </c>
      <c r="BC15" s="51">
        <f t="shared" si="6"/>
        <v>0.1863909772982213</v>
      </c>
      <c r="BD15" s="51">
        <f t="shared" si="29"/>
        <v>18.63909772982213</v>
      </c>
      <c r="BE15" s="51">
        <f t="shared" si="30"/>
        <v>18.63909772982213</v>
      </c>
      <c r="BG15">
        <f t="shared" si="7"/>
        <v>18.63909772982213</v>
      </c>
      <c r="BI15" s="55">
        <f t="shared" si="31"/>
        <v>11.00005</v>
      </c>
      <c r="BJ15">
        <v>5.7638797153681285</v>
      </c>
      <c r="BK15">
        <f>Sheet1!Y22</f>
        <v>10.487910172523899</v>
      </c>
      <c r="BL15" s="57">
        <f t="shared" si="32"/>
        <v>5.763879715368131</v>
      </c>
      <c r="BM15" s="51"/>
    </row>
    <row r="16" spans="1:65" ht="13.5" thickBot="1">
      <c r="A16" s="56"/>
      <c r="B16" s="10" t="s">
        <v>136</v>
      </c>
      <c r="C16" s="112">
        <f>S8</f>
        <v>0</v>
      </c>
      <c r="D16" s="113">
        <f>S10</f>
        <v>0</v>
      </c>
      <c r="E16" s="113">
        <f>S12</f>
        <v>0</v>
      </c>
      <c r="F16" s="113">
        <f>S14</f>
        <v>0</v>
      </c>
      <c r="G16" s="113">
        <f>S16</f>
        <v>0</v>
      </c>
      <c r="H16" s="114">
        <f>S18</f>
        <v>100</v>
      </c>
      <c r="M16">
        <f t="shared" si="35"/>
        <v>12</v>
      </c>
      <c r="N16" s="19">
        <f t="shared" si="0"/>
        <v>18.604845691812887</v>
      </c>
      <c r="O16" s="17">
        <f t="shared" si="34"/>
        <v>0.18604845691812888</v>
      </c>
      <c r="P16" s="19">
        <f>Sheet1!L23*100</f>
        <v>18.262403613778513</v>
      </c>
      <c r="Q16" s="5">
        <f>G14</f>
        <v>0</v>
      </c>
      <c r="R16" s="16" t="s">
        <v>127</v>
      </c>
      <c r="S16" s="6">
        <f t="shared" si="36"/>
        <v>0</v>
      </c>
      <c r="T16" s="8">
        <f>G11</f>
        <v>425.5</v>
      </c>
      <c r="U16" s="8">
        <f>G12</f>
        <v>65</v>
      </c>
      <c r="V16" s="5"/>
      <c r="W16" s="29">
        <f t="shared" si="8"/>
        <v>12</v>
      </c>
      <c r="X16" s="65">
        <f t="shared" si="9"/>
        <v>0.9998038674502363</v>
      </c>
      <c r="Y16" s="25">
        <f t="shared" si="1"/>
        <v>0.0008594072146632659</v>
      </c>
      <c r="Z16" s="25">
        <f t="shared" si="10"/>
        <v>0.08594072146632659</v>
      </c>
      <c r="AA16" s="25">
        <f t="shared" si="11"/>
        <v>0</v>
      </c>
      <c r="AB16" s="5"/>
      <c r="AC16" s="34">
        <f t="shared" si="12"/>
        <v>12.00005</v>
      </c>
      <c r="AD16" s="66">
        <f t="shared" si="13"/>
        <v>0.9172416325187029</v>
      </c>
      <c r="AE16" s="30">
        <f t="shared" si="2"/>
        <v>0.06131388057153164</v>
      </c>
      <c r="AF16" s="30">
        <f t="shared" si="14"/>
        <v>6.131388057153164</v>
      </c>
      <c r="AG16" s="30">
        <f t="shared" si="15"/>
        <v>0</v>
      </c>
      <c r="AH16" s="16"/>
      <c r="AI16" s="39">
        <f t="shared" si="16"/>
        <v>12.00005</v>
      </c>
      <c r="AJ16" s="67">
        <f t="shared" si="17"/>
        <v>0.8084035079871839</v>
      </c>
      <c r="AK16" s="35">
        <f t="shared" si="3"/>
        <v>0.13747740096328487</v>
      </c>
      <c r="AL16" s="35">
        <f t="shared" si="18"/>
        <v>13.747740096328487</v>
      </c>
      <c r="AM16" s="35">
        <f t="shared" si="19"/>
        <v>0</v>
      </c>
      <c r="AO16" s="44">
        <f t="shared" si="20"/>
        <v>12.00005</v>
      </c>
      <c r="AP16" s="68">
        <f t="shared" si="21"/>
        <v>0.6278919759722958</v>
      </c>
      <c r="AQ16" s="40">
        <f t="shared" si="4"/>
        <v>0.17688055085610777</v>
      </c>
      <c r="AR16" s="40">
        <f t="shared" si="22"/>
        <v>17.688055085610777</v>
      </c>
      <c r="AS16" s="40">
        <f t="shared" si="23"/>
        <v>0</v>
      </c>
      <c r="AU16" s="50">
        <f t="shared" si="33"/>
        <v>-40</v>
      </c>
      <c r="AV16" s="69">
        <f t="shared" si="24"/>
        <v>0.46510890123581206</v>
      </c>
      <c r="AW16" s="46">
        <f t="shared" si="5"/>
        <v>0.16945869316495155</v>
      </c>
      <c r="AX16" s="46">
        <f t="shared" si="25"/>
        <v>16.945869316495155</v>
      </c>
      <c r="AY16" s="46">
        <f t="shared" si="26"/>
        <v>0</v>
      </c>
      <c r="BA16" s="55">
        <f t="shared" si="27"/>
        <v>12.00005</v>
      </c>
      <c r="BB16" s="70">
        <f t="shared" si="28"/>
        <v>0.5954188243907053</v>
      </c>
      <c r="BC16" s="51">
        <f t="shared" si="6"/>
        <v>0.18604845691812888</v>
      </c>
      <c r="BD16" s="51">
        <f t="shared" si="29"/>
        <v>18.604845691812887</v>
      </c>
      <c r="BE16" s="51">
        <f t="shared" si="30"/>
        <v>18.604845691812887</v>
      </c>
      <c r="BG16">
        <f t="shared" si="7"/>
        <v>18.604845691812887</v>
      </c>
      <c r="BI16" s="55">
        <f t="shared" si="31"/>
        <v>12.00005</v>
      </c>
      <c r="BJ16">
        <v>2.051279984024896</v>
      </c>
      <c r="BK16">
        <f>Sheet1!Y23</f>
        <v>3.8530455148164022</v>
      </c>
      <c r="BL16" s="57">
        <f t="shared" si="32"/>
        <v>2.0512799840248968</v>
      </c>
      <c r="BM16" s="51"/>
    </row>
    <row r="17" spans="1:65" ht="16.5" thickBot="1">
      <c r="A17" s="18" t="s">
        <v>145</v>
      </c>
      <c r="B17" s="18"/>
      <c r="C17" s="18"/>
      <c r="D17" s="18"/>
      <c r="E17" s="18"/>
      <c r="F17" s="86" t="s">
        <v>172</v>
      </c>
      <c r="G17" s="18" t="s">
        <v>146</v>
      </c>
      <c r="H17" s="18"/>
      <c r="M17">
        <f t="shared" si="35"/>
        <v>13</v>
      </c>
      <c r="N17" s="19">
        <f t="shared" si="0"/>
        <v>15.731077838874462</v>
      </c>
      <c r="O17" s="17">
        <f t="shared" si="34"/>
        <v>0.15731077838874463</v>
      </c>
      <c r="P17" s="19">
        <f>Sheet1!L24*100</f>
        <v>14.292862728639191</v>
      </c>
      <c r="Q17" s="5"/>
      <c r="R17" s="16"/>
      <c r="S17" s="6"/>
      <c r="T17" s="8"/>
      <c r="U17" s="6"/>
      <c r="V17" s="5"/>
      <c r="W17" s="29">
        <f t="shared" si="8"/>
        <v>13</v>
      </c>
      <c r="X17" s="65">
        <f t="shared" si="9"/>
        <v>0.9999665716772883</v>
      </c>
      <c r="Y17" s="25">
        <f t="shared" si="1"/>
        <v>0.00016270422705200183</v>
      </c>
      <c r="Z17" s="25">
        <f t="shared" si="10"/>
        <v>0.016270422705200183</v>
      </c>
      <c r="AA17" s="25">
        <f t="shared" si="11"/>
        <v>0</v>
      </c>
      <c r="AB17" s="5"/>
      <c r="AC17" s="34">
        <f t="shared" si="12"/>
        <v>13.00005</v>
      </c>
      <c r="AD17" s="66">
        <f t="shared" si="13"/>
        <v>0.9546064102636741</v>
      </c>
      <c r="AE17" s="30">
        <f t="shared" si="2"/>
        <v>0.037364777744971156</v>
      </c>
      <c r="AF17" s="30">
        <f t="shared" si="14"/>
        <v>3.7364777744971156</v>
      </c>
      <c r="AG17" s="30">
        <f t="shared" si="15"/>
        <v>0</v>
      </c>
      <c r="AH17" s="16"/>
      <c r="AI17" s="39">
        <f t="shared" si="16"/>
        <v>13.00005</v>
      </c>
      <c r="AJ17" s="67">
        <f t="shared" si="17"/>
        <v>0.8988540627009581</v>
      </c>
      <c r="AK17" s="35">
        <f t="shared" si="3"/>
        <v>0.09045055471377428</v>
      </c>
      <c r="AL17" s="35">
        <f t="shared" si="18"/>
        <v>9.045055471377427</v>
      </c>
      <c r="AM17" s="35">
        <f t="shared" si="19"/>
        <v>0</v>
      </c>
      <c r="AO17" s="44">
        <f t="shared" si="20"/>
        <v>13.00005</v>
      </c>
      <c r="AP17" s="68">
        <f t="shared" si="21"/>
        <v>0.7727391934624933</v>
      </c>
      <c r="AQ17" s="40">
        <f t="shared" si="4"/>
        <v>0.14484721749019747</v>
      </c>
      <c r="AR17" s="40">
        <f t="shared" si="22"/>
        <v>14.484721749019746</v>
      </c>
      <c r="AS17" s="40">
        <f t="shared" si="23"/>
        <v>0</v>
      </c>
      <c r="AU17" s="50">
        <f t="shared" si="33"/>
        <v>-39</v>
      </c>
      <c r="AV17" s="69">
        <f t="shared" si="24"/>
        <v>0.6308296713342598</v>
      </c>
      <c r="AW17" s="46">
        <f t="shared" si="5"/>
        <v>0.16572077009844777</v>
      </c>
      <c r="AX17" s="46">
        <f t="shared" si="25"/>
        <v>16.572077009844776</v>
      </c>
      <c r="AY17" s="46">
        <f t="shared" si="26"/>
        <v>0</v>
      </c>
      <c r="BA17" s="55">
        <f t="shared" si="27"/>
        <v>13.00005</v>
      </c>
      <c r="BB17" s="70">
        <f t="shared" si="28"/>
        <v>0.7527296027794499</v>
      </c>
      <c r="BC17" s="51">
        <f t="shared" si="6"/>
        <v>0.15731077838874463</v>
      </c>
      <c r="BD17" s="51">
        <f t="shared" si="29"/>
        <v>15.731077838874462</v>
      </c>
      <c r="BE17" s="51">
        <f t="shared" si="30"/>
        <v>15.731077838874462</v>
      </c>
      <c r="BG17">
        <f t="shared" si="7"/>
        <v>15.731077838874462</v>
      </c>
      <c r="BI17" s="55">
        <f t="shared" si="31"/>
        <v>13.00005</v>
      </c>
      <c r="BJ17">
        <v>0.66202134064138</v>
      </c>
      <c r="BK17">
        <f>Sheet1!Y24</f>
        <v>1.2019171842249945</v>
      </c>
      <c r="BL17" s="57">
        <f t="shared" si="32"/>
        <v>0.6620213406413803</v>
      </c>
      <c r="BM17" s="51"/>
    </row>
    <row r="18" spans="1:65" ht="17.25" thickBot="1" thickTop="1">
      <c r="A18" s="22" t="s">
        <v>60</v>
      </c>
      <c r="B18" s="23"/>
      <c r="F18" s="125" t="s">
        <v>61</v>
      </c>
      <c r="G18" s="76" t="s">
        <v>273</v>
      </c>
      <c r="H18" s="76" t="s">
        <v>274</v>
      </c>
      <c r="M18">
        <f t="shared" si="35"/>
        <v>14</v>
      </c>
      <c r="N18" s="19">
        <f t="shared" si="0"/>
        <v>11.762585997313458</v>
      </c>
      <c r="O18" s="17">
        <f t="shared" si="34"/>
        <v>0.11762585997313459</v>
      </c>
      <c r="P18" s="19">
        <f>Sheet1!L25*100</f>
        <v>9.949809022308004</v>
      </c>
      <c r="Q18" s="5">
        <f>H14</f>
        <v>1</v>
      </c>
      <c r="R18" s="16" t="s">
        <v>132</v>
      </c>
      <c r="S18" s="6">
        <f t="shared" si="36"/>
        <v>100</v>
      </c>
      <c r="T18" s="8">
        <f>H11</f>
        <v>404.820031950439</v>
      </c>
      <c r="U18" s="6">
        <f>H12</f>
        <v>62.059820246468504</v>
      </c>
      <c r="V18" s="5"/>
      <c r="W18" s="29">
        <f t="shared" si="8"/>
        <v>14</v>
      </c>
      <c r="X18" s="65">
        <f t="shared" si="9"/>
        <v>0.9999953432646599</v>
      </c>
      <c r="Y18" s="25">
        <f t="shared" si="1"/>
        <v>2.877158737157881E-05</v>
      </c>
      <c r="Z18" s="25">
        <f t="shared" si="10"/>
        <v>0.002877158737157881</v>
      </c>
      <c r="AA18" s="25">
        <f t="shared" si="11"/>
        <v>0</v>
      </c>
      <c r="AB18" s="5"/>
      <c r="AC18" s="34">
        <f t="shared" si="12"/>
        <v>14.00005</v>
      </c>
      <c r="AD18" s="66">
        <f t="shared" si="13"/>
        <v>0.977146591658829</v>
      </c>
      <c r="AE18" s="30">
        <f t="shared" si="2"/>
        <v>0.0225401813951549</v>
      </c>
      <c r="AF18" s="30">
        <f t="shared" si="14"/>
        <v>2.25401813951549</v>
      </c>
      <c r="AG18" s="30">
        <f t="shared" si="15"/>
        <v>0</v>
      </c>
      <c r="AH18" s="16"/>
      <c r="AI18" s="39">
        <f t="shared" si="16"/>
        <v>14.00005</v>
      </c>
      <c r="AJ18" s="67">
        <f t="shared" si="17"/>
        <v>0.9536329291263427</v>
      </c>
      <c r="AK18" s="35">
        <f t="shared" si="3"/>
        <v>0.05477886642538454</v>
      </c>
      <c r="AL18" s="35">
        <f t="shared" si="18"/>
        <v>5.477886642538454</v>
      </c>
      <c r="AM18" s="35">
        <f t="shared" si="19"/>
        <v>0</v>
      </c>
      <c r="AO18" s="44">
        <f t="shared" si="20"/>
        <v>14.00005</v>
      </c>
      <c r="AP18" s="68">
        <f t="shared" si="21"/>
        <v>0.8795497642467003</v>
      </c>
      <c r="AQ18" s="40">
        <f t="shared" si="4"/>
        <v>0.10681057078420697</v>
      </c>
      <c r="AR18" s="40">
        <f t="shared" si="22"/>
        <v>10.681057078420697</v>
      </c>
      <c r="AS18" s="40">
        <f t="shared" si="23"/>
        <v>0</v>
      </c>
      <c r="AU18" s="50">
        <f t="shared" si="33"/>
        <v>-38</v>
      </c>
      <c r="AV18" s="69">
        <f t="shared" si="24"/>
        <v>0.7760418393698654</v>
      </c>
      <c r="AW18" s="46">
        <f t="shared" si="5"/>
        <v>0.14521216803560555</v>
      </c>
      <c r="AX18" s="46">
        <f t="shared" si="25"/>
        <v>14.521216803560556</v>
      </c>
      <c r="AY18" s="46">
        <f t="shared" si="26"/>
        <v>0</v>
      </c>
      <c r="BA18" s="55">
        <f t="shared" si="27"/>
        <v>14.00005</v>
      </c>
      <c r="BB18" s="70">
        <f t="shared" si="28"/>
        <v>0.8703554627525845</v>
      </c>
      <c r="BC18" s="51">
        <f t="shared" si="6"/>
        <v>0.11762585997313457</v>
      </c>
      <c r="BD18" s="51">
        <f t="shared" si="29"/>
        <v>11.762585997313458</v>
      </c>
      <c r="BE18" s="51">
        <f t="shared" si="30"/>
        <v>11.762585997313458</v>
      </c>
      <c r="BG18">
        <f t="shared" si="7"/>
        <v>11.762585997313458</v>
      </c>
      <c r="BI18" s="55">
        <f t="shared" si="31"/>
        <v>14.00005</v>
      </c>
      <c r="BJ18">
        <v>0.19652682913990022</v>
      </c>
      <c r="BK18">
        <f>Sheet1!Y25</f>
        <v>0.3262255012159235</v>
      </c>
      <c r="BL18" s="57">
        <f t="shared" si="32"/>
        <v>0.1965268291399003</v>
      </c>
      <c r="BM18" s="51"/>
    </row>
    <row r="19" spans="2:65" ht="14.25" thickBot="1" thickTop="1">
      <c r="B19" s="6" t="s">
        <v>10</v>
      </c>
      <c r="C19" s="129">
        <v>131.81723022460938</v>
      </c>
      <c r="D19" s="110" t="s">
        <v>16</v>
      </c>
      <c r="F19" s="76" t="s">
        <v>272</v>
      </c>
      <c r="G19" s="119">
        <f>J43*C20+0.032</f>
        <v>0.032</v>
      </c>
      <c r="H19" s="119">
        <f>J44*C20+0.24</f>
        <v>0.24</v>
      </c>
      <c r="M19">
        <f t="shared" si="35"/>
        <v>15</v>
      </c>
      <c r="N19" s="19">
        <f t="shared" si="0"/>
        <v>7.250440127531476</v>
      </c>
      <c r="O19" s="17">
        <f t="shared" si="34"/>
        <v>0.07250440127531477</v>
      </c>
      <c r="P19" s="19">
        <f>Sheet1!L26*100</f>
        <v>5.738588817729246</v>
      </c>
      <c r="Q19" s="5"/>
      <c r="R19" s="16"/>
      <c r="V19" s="5"/>
      <c r="W19" s="29">
        <f t="shared" si="8"/>
        <v>15</v>
      </c>
      <c r="X19" s="65">
        <f t="shared" si="9"/>
        <v>0.9999994803257669</v>
      </c>
      <c r="Y19" s="25">
        <f t="shared" si="1"/>
        <v>4.137061107023499E-06</v>
      </c>
      <c r="Z19" s="25">
        <f t="shared" si="10"/>
        <v>0.00041370611070234986</v>
      </c>
      <c r="AA19" s="25">
        <f t="shared" si="11"/>
        <v>0</v>
      </c>
      <c r="AB19" s="5"/>
      <c r="AC19" s="34">
        <f t="shared" si="12"/>
        <v>15.00005</v>
      </c>
      <c r="AD19" s="66">
        <f t="shared" si="13"/>
        <v>0.9895336568496518</v>
      </c>
      <c r="AE19" s="30">
        <f t="shared" si="2"/>
        <v>0.012387065190822777</v>
      </c>
      <c r="AF19" s="30">
        <f t="shared" si="14"/>
        <v>1.2387065190822777</v>
      </c>
      <c r="AG19" s="30">
        <f t="shared" si="15"/>
        <v>0</v>
      </c>
      <c r="AH19" s="16"/>
      <c r="AI19" s="39">
        <f t="shared" si="16"/>
        <v>15.00005</v>
      </c>
      <c r="AJ19" s="67">
        <f t="shared" si="17"/>
        <v>0.9818212766409653</v>
      </c>
      <c r="AK19" s="35">
        <f t="shared" si="3"/>
        <v>0.028188347514622625</v>
      </c>
      <c r="AL19" s="35">
        <f t="shared" si="18"/>
        <v>2.8188347514622625</v>
      </c>
      <c r="AM19" s="35">
        <f t="shared" si="19"/>
        <v>0</v>
      </c>
      <c r="AO19" s="44">
        <f t="shared" si="20"/>
        <v>15.00005</v>
      </c>
      <c r="AP19" s="68">
        <f t="shared" si="21"/>
        <v>0.9455879958268552</v>
      </c>
      <c r="AQ19" s="40">
        <f t="shared" si="4"/>
        <v>0.06603823158015487</v>
      </c>
      <c r="AR19" s="40">
        <f t="shared" si="22"/>
        <v>6.603823158015487</v>
      </c>
      <c r="AS19" s="40">
        <f t="shared" si="23"/>
        <v>0</v>
      </c>
      <c r="AU19" s="50">
        <f t="shared" si="33"/>
        <v>-37</v>
      </c>
      <c r="AV19" s="69">
        <f t="shared" si="24"/>
        <v>0.8829089656891096</v>
      </c>
      <c r="AW19" s="46">
        <f t="shared" si="5"/>
        <v>0.10686712631924422</v>
      </c>
      <c r="AX19" s="46">
        <f t="shared" si="25"/>
        <v>10.686712631924422</v>
      </c>
      <c r="AY19" s="46">
        <f t="shared" si="26"/>
        <v>0</v>
      </c>
      <c r="BA19" s="55">
        <f t="shared" si="27"/>
        <v>15.00005</v>
      </c>
      <c r="BB19" s="70">
        <f t="shared" si="28"/>
        <v>0.9428598640278992</v>
      </c>
      <c r="BC19" s="51">
        <f t="shared" si="6"/>
        <v>0.07250440127531477</v>
      </c>
      <c r="BD19" s="51">
        <f t="shared" si="29"/>
        <v>7.250440127531476</v>
      </c>
      <c r="BE19" s="51">
        <f t="shared" si="30"/>
        <v>7.250440127531476</v>
      </c>
      <c r="BG19">
        <f t="shared" si="7"/>
        <v>7.250440127531476</v>
      </c>
      <c r="BI19" s="55">
        <f t="shared" si="31"/>
        <v>15.00005</v>
      </c>
      <c r="BJ19">
        <v>0.050687003770536865</v>
      </c>
      <c r="BK19">
        <f>Sheet1!Y26</f>
        <v>0.0724143767138477</v>
      </c>
      <c r="BL19" s="57">
        <f t="shared" si="32"/>
        <v>0.050687003770536886</v>
      </c>
      <c r="BM19" s="51"/>
    </row>
    <row r="20" spans="2:65" ht="16.5" thickBot="1" thickTop="1">
      <c r="B20" s="6" t="s">
        <v>216</v>
      </c>
      <c r="C20" s="111">
        <v>0</v>
      </c>
      <c r="D20" s="110" t="s">
        <v>117</v>
      </c>
      <c r="E20" s="58"/>
      <c r="F20" s="132" t="s">
        <v>39</v>
      </c>
      <c r="G20" s="131">
        <f>Sheet1!B5</f>
        <v>0.043999648133494405</v>
      </c>
      <c r="H20" s="126" t="str">
        <f>IF(G21&gt;C22,"error",(IF(G20&gt;H19,"rich",(IF(G20&lt;G19,"lean","flammable")))))</f>
        <v>flammable</v>
      </c>
      <c r="M20">
        <f t="shared" si="35"/>
        <v>16</v>
      </c>
      <c r="N20" s="19">
        <f t="shared" si="0"/>
        <v>3.64138061283924</v>
      </c>
      <c r="O20" s="17">
        <f t="shared" si="34"/>
        <v>0.0364138061283924</v>
      </c>
      <c r="P20" s="19">
        <f>Sheet1!L27*100</f>
        <v>2.7085367416700685</v>
      </c>
      <c r="Q20" s="5">
        <f>SUM(Q8:Q18)</f>
        <v>1</v>
      </c>
      <c r="R20" s="16"/>
      <c r="S20">
        <f>SUM(S8:S18)</f>
        <v>100</v>
      </c>
      <c r="V20" s="5"/>
      <c r="W20" s="29">
        <f t="shared" si="8"/>
        <v>16</v>
      </c>
      <c r="X20" s="65">
        <f t="shared" si="9"/>
        <v>0.9999999545653919</v>
      </c>
      <c r="Y20" s="25">
        <f t="shared" si="1"/>
        <v>4.7423962501458305E-07</v>
      </c>
      <c r="Z20" s="25">
        <f t="shared" si="10"/>
        <v>4.7423962501458305E-05</v>
      </c>
      <c r="AA20" s="25">
        <f t="shared" si="11"/>
        <v>0</v>
      </c>
      <c r="AB20" s="5"/>
      <c r="AC20" s="34">
        <f t="shared" si="12"/>
        <v>16.00005</v>
      </c>
      <c r="AD20" s="66">
        <f t="shared" si="13"/>
        <v>0.9956827984016003</v>
      </c>
      <c r="AE20" s="30">
        <f t="shared" si="2"/>
        <v>0.006149141551948567</v>
      </c>
      <c r="AF20" s="30">
        <f t="shared" si="14"/>
        <v>0.6149141551948567</v>
      </c>
      <c r="AG20" s="30">
        <f t="shared" si="15"/>
        <v>0</v>
      </c>
      <c r="AH20" s="16"/>
      <c r="AI20" s="39">
        <f t="shared" si="16"/>
        <v>16.00005</v>
      </c>
      <c r="AJ20" s="67">
        <f t="shared" si="17"/>
        <v>0.994005598889579</v>
      </c>
      <c r="AK20" s="35">
        <f t="shared" si="3"/>
        <v>0.012184322248613655</v>
      </c>
      <c r="AL20" s="35">
        <f t="shared" si="18"/>
        <v>1.2184322248613655</v>
      </c>
      <c r="AM20" s="35">
        <f t="shared" si="19"/>
        <v>0</v>
      </c>
      <c r="AO20" s="44">
        <f t="shared" si="20"/>
        <v>16.00005</v>
      </c>
      <c r="AP20" s="68">
        <f t="shared" si="21"/>
        <v>0.9794458743683344</v>
      </c>
      <c r="AQ20" s="40">
        <f t="shared" si="4"/>
        <v>0.03385787854147926</v>
      </c>
      <c r="AR20" s="40">
        <f t="shared" si="22"/>
        <v>3.385787854147926</v>
      </c>
      <c r="AS20" s="40">
        <f t="shared" si="23"/>
        <v>0</v>
      </c>
      <c r="AU20" s="50">
        <f t="shared" si="33"/>
        <v>-36</v>
      </c>
      <c r="AV20" s="69">
        <f t="shared" si="24"/>
        <v>0.9482999815864892</v>
      </c>
      <c r="AW20" s="46">
        <f t="shared" si="5"/>
        <v>0.06539101589737961</v>
      </c>
      <c r="AX20" s="46">
        <f t="shared" si="25"/>
        <v>6.539101589737961</v>
      </c>
      <c r="AY20" s="46">
        <f t="shared" si="26"/>
        <v>0</v>
      </c>
      <c r="BA20" s="55">
        <f t="shared" si="27"/>
        <v>16.00005</v>
      </c>
      <c r="BB20" s="70">
        <f t="shared" si="28"/>
        <v>0.9792736701562916</v>
      </c>
      <c r="BC20" s="51">
        <f t="shared" si="6"/>
        <v>0.0364138061283924</v>
      </c>
      <c r="BD20" s="51">
        <f t="shared" si="29"/>
        <v>3.64138061283924</v>
      </c>
      <c r="BE20" s="51">
        <f t="shared" si="30"/>
        <v>3.64138061283924</v>
      </c>
      <c r="BG20">
        <f t="shared" si="7"/>
        <v>3.64138061283924</v>
      </c>
      <c r="BI20" s="55">
        <f t="shared" si="31"/>
        <v>16.00005</v>
      </c>
      <c r="BJ20">
        <v>0.011364882480626661</v>
      </c>
      <c r="BK20">
        <f>Sheet1!Y27</f>
        <v>0.013090382938477522</v>
      </c>
      <c r="BL20" s="57">
        <f t="shared" si="32"/>
        <v>0.011364882480626667</v>
      </c>
      <c r="BM20" s="51"/>
    </row>
    <row r="21" spans="2:65" ht="14.25" customHeight="1" thickBot="1" thickTop="1">
      <c r="B21" s="6" t="s">
        <v>158</v>
      </c>
      <c r="C21" s="140">
        <v>50</v>
      </c>
      <c r="D21" s="128" t="str">
        <f>IF(C21&gt;100,"Error, tank overfull","% full")</f>
        <v>% full</v>
      </c>
      <c r="E21">
        <v>1.5</v>
      </c>
      <c r="F21" s="76" t="s">
        <v>27</v>
      </c>
      <c r="G21" s="116">
        <f>Sheet1!B25</f>
        <v>0.15016850490274952</v>
      </c>
      <c r="H21" s="106" t="s">
        <v>4</v>
      </c>
      <c r="M21">
        <f t="shared" si="35"/>
        <v>17</v>
      </c>
      <c r="N21" s="19">
        <f t="shared" si="0"/>
        <v>1.4676895879252363</v>
      </c>
      <c r="O21" s="17">
        <f t="shared" si="34"/>
        <v>0.014676895879252362</v>
      </c>
      <c r="P21" s="19">
        <f>Sheet1!L28*100</f>
        <v>1.0299156734797785</v>
      </c>
      <c r="V21" s="5"/>
      <c r="W21" s="29">
        <f t="shared" si="8"/>
        <v>17</v>
      </c>
      <c r="X21" s="65">
        <f t="shared" si="9"/>
        <v>0.9999999969627454</v>
      </c>
      <c r="Y21" s="25">
        <f t="shared" si="1"/>
        <v>4.239735351685425E-08</v>
      </c>
      <c r="Z21" s="25">
        <f t="shared" si="10"/>
        <v>4.239735351685425E-06</v>
      </c>
      <c r="AA21" s="25">
        <f t="shared" si="11"/>
        <v>0</v>
      </c>
      <c r="AB21" s="5"/>
      <c r="AC21" s="34">
        <f t="shared" si="12"/>
        <v>17.00005</v>
      </c>
      <c r="AD21" s="66">
        <f t="shared" si="13"/>
        <v>0.9984135479799858</v>
      </c>
      <c r="AE21" s="30">
        <f t="shared" si="2"/>
        <v>0.002730749578385483</v>
      </c>
      <c r="AF21" s="30">
        <f t="shared" si="14"/>
        <v>0.2730749578385483</v>
      </c>
      <c r="AG21" s="30">
        <f t="shared" si="15"/>
        <v>0</v>
      </c>
      <c r="AH21" s="16"/>
      <c r="AI21" s="39">
        <f t="shared" si="16"/>
        <v>17.00005</v>
      </c>
      <c r="AJ21" s="67">
        <f t="shared" si="17"/>
        <v>0.9983676921600065</v>
      </c>
      <c r="AK21" s="35">
        <f t="shared" si="3"/>
        <v>0.0043620932704275805</v>
      </c>
      <c r="AL21" s="35">
        <f t="shared" si="18"/>
        <v>0.43620932704275805</v>
      </c>
      <c r="AM21" s="35">
        <f t="shared" si="19"/>
        <v>0</v>
      </c>
      <c r="AO21" s="44">
        <f t="shared" si="20"/>
        <v>17.00005</v>
      </c>
      <c r="AP21" s="68">
        <f t="shared" si="21"/>
        <v>0.9936386481320978</v>
      </c>
      <c r="AQ21" s="40">
        <f t="shared" si="4"/>
        <v>0.014192773763763378</v>
      </c>
      <c r="AR21" s="40">
        <f t="shared" si="22"/>
        <v>1.4192773763763378</v>
      </c>
      <c r="AS21" s="40">
        <f t="shared" si="23"/>
        <v>0</v>
      </c>
      <c r="AU21" s="50">
        <f t="shared" si="33"/>
        <v>-35</v>
      </c>
      <c r="AV21" s="69">
        <f t="shared" si="24"/>
        <v>0.9811266313917988</v>
      </c>
      <c r="AW21" s="46">
        <f t="shared" si="5"/>
        <v>0.03282664980530958</v>
      </c>
      <c r="AX21" s="46">
        <f t="shared" si="25"/>
        <v>3.2826649805309582</v>
      </c>
      <c r="AY21" s="46">
        <f t="shared" si="26"/>
        <v>0</v>
      </c>
      <c r="BA21" s="55">
        <f t="shared" si="27"/>
        <v>17.00005</v>
      </c>
      <c r="BB21" s="70">
        <f t="shared" si="28"/>
        <v>0.993950566035544</v>
      </c>
      <c r="BC21" s="51">
        <f t="shared" si="6"/>
        <v>0.01467689587925236</v>
      </c>
      <c r="BD21" s="51">
        <f t="shared" si="29"/>
        <v>1.467689587925236</v>
      </c>
      <c r="BE21" s="51">
        <f t="shared" si="30"/>
        <v>1.4676895879252363</v>
      </c>
      <c r="BG21">
        <f t="shared" si="7"/>
        <v>1.4676895879252363</v>
      </c>
      <c r="BI21" s="55">
        <f t="shared" si="31"/>
        <v>17.00005</v>
      </c>
      <c r="BJ21">
        <v>0.001672099224821213</v>
      </c>
      <c r="BK21">
        <f>Sheet1!Y28</f>
        <v>0.0015190950753518938</v>
      </c>
      <c r="BL21" s="57">
        <f t="shared" si="32"/>
        <v>0.001672099224821214</v>
      </c>
      <c r="BM21" s="51"/>
    </row>
    <row r="22" spans="2:65" ht="14.25" thickBot="1" thickTop="1">
      <c r="B22" s="6" t="s">
        <v>13</v>
      </c>
      <c r="C22" s="130">
        <f>14.7*((1-C20*0.001/145.45)^5.2561)</f>
        <v>14.7</v>
      </c>
      <c r="D22" s="110" t="s">
        <v>7</v>
      </c>
      <c r="F22" s="76" t="s">
        <v>105</v>
      </c>
      <c r="G22" s="115">
        <f>Sheet1!B37</f>
        <v>0.005959961252834654</v>
      </c>
      <c r="H22" s="107" t="str">
        <f>IF($G$22&gt;99.975,"Error"," ")</f>
        <v> </v>
      </c>
      <c r="M22">
        <f t="shared" si="35"/>
        <v>18</v>
      </c>
      <c r="N22" s="19">
        <f t="shared" si="0"/>
        <v>0.45249029435934235</v>
      </c>
      <c r="O22" s="17">
        <f t="shared" si="34"/>
        <v>0.004524902943593424</v>
      </c>
      <c r="P22" s="19">
        <f>Sheet1!L29*100</f>
        <v>0.30057788090305454</v>
      </c>
      <c r="V22" s="5"/>
      <c r="W22" s="29">
        <f t="shared" si="8"/>
        <v>18</v>
      </c>
      <c r="X22" s="65">
        <f t="shared" si="9"/>
        <v>0.9999999998177338</v>
      </c>
      <c r="Y22" s="25">
        <f t="shared" si="1"/>
        <v>2.8549883568373957E-09</v>
      </c>
      <c r="Z22" s="25">
        <f t="shared" si="10"/>
        <v>2.8549883568373957E-07</v>
      </c>
      <c r="AA22" s="25">
        <f t="shared" si="11"/>
        <v>0</v>
      </c>
      <c r="AB22" s="5"/>
      <c r="AC22" s="34">
        <f t="shared" si="12"/>
        <v>18.00005</v>
      </c>
      <c r="AD22" s="66">
        <f t="shared" si="13"/>
        <v>0.9994491412585609</v>
      </c>
      <c r="AE22" s="30">
        <f t="shared" si="2"/>
        <v>0.0010355932785750532</v>
      </c>
      <c r="AF22" s="30">
        <f t="shared" si="14"/>
        <v>0.10355932785750532</v>
      </c>
      <c r="AG22" s="30">
        <f t="shared" si="15"/>
        <v>0</v>
      </c>
      <c r="AH22" s="16"/>
      <c r="AI22" s="39">
        <f t="shared" si="16"/>
        <v>18.00005</v>
      </c>
      <c r="AJ22" s="67">
        <f t="shared" si="17"/>
        <v>0.9996039316695928</v>
      </c>
      <c r="AK22" s="35">
        <f t="shared" si="3"/>
        <v>0.00123623950958629</v>
      </c>
      <c r="AL22" s="35">
        <f t="shared" si="18"/>
        <v>0.12362395095862899</v>
      </c>
      <c r="AM22" s="35">
        <f t="shared" si="19"/>
        <v>0</v>
      </c>
      <c r="AO22" s="44">
        <f t="shared" si="20"/>
        <v>18.00005</v>
      </c>
      <c r="AP22" s="68">
        <f t="shared" si="21"/>
        <v>0.9982745402081341</v>
      </c>
      <c r="AQ22" s="40">
        <f t="shared" si="4"/>
        <v>0.004635892076036319</v>
      </c>
      <c r="AR22" s="40">
        <f t="shared" si="22"/>
        <v>0.46358920760363187</v>
      </c>
      <c r="AS22" s="40">
        <f t="shared" si="23"/>
        <v>0</v>
      </c>
      <c r="AU22" s="50">
        <f t="shared" si="33"/>
        <v>-34</v>
      </c>
      <c r="AV22" s="69">
        <f t="shared" si="24"/>
        <v>0.9939735414525375</v>
      </c>
      <c r="AW22" s="46">
        <f t="shared" si="5"/>
        <v>0.012846910060738681</v>
      </c>
      <c r="AX22" s="46">
        <f t="shared" si="25"/>
        <v>1.284691006073868</v>
      </c>
      <c r="AY22" s="46">
        <f t="shared" si="26"/>
        <v>0</v>
      </c>
      <c r="BA22" s="55">
        <f t="shared" si="27"/>
        <v>18.00005</v>
      </c>
      <c r="BB22" s="70">
        <f t="shared" si="28"/>
        <v>0.9984754689791374</v>
      </c>
      <c r="BC22" s="51">
        <f t="shared" si="6"/>
        <v>0.004524902943593423</v>
      </c>
      <c r="BD22" s="51">
        <f t="shared" si="29"/>
        <v>0.4524902943593423</v>
      </c>
      <c r="BE22" s="51">
        <f t="shared" si="30"/>
        <v>0.45249029435934235</v>
      </c>
      <c r="BG22">
        <f t="shared" si="7"/>
        <v>0.45249029435934235</v>
      </c>
      <c r="BI22" s="55">
        <f t="shared" si="31"/>
        <v>18.00005</v>
      </c>
      <c r="BJ22">
        <v>0.0006108421925394969</v>
      </c>
      <c r="BK22">
        <f>Sheet1!Y29</f>
        <v>0.0003517083701436685</v>
      </c>
      <c r="BL22" s="57">
        <f t="shared" si="32"/>
        <v>0.0006108421925394972</v>
      </c>
      <c r="BM22" s="51"/>
    </row>
    <row r="23" spans="1:65" ht="16.5" thickBot="1" thickTop="1">
      <c r="A23" s="59"/>
      <c r="B23" s="6" t="s">
        <v>260</v>
      </c>
      <c r="C23" s="141">
        <v>0</v>
      </c>
      <c r="D23" s="127" t="s">
        <v>2</v>
      </c>
      <c r="F23" s="76" t="s">
        <v>84</v>
      </c>
      <c r="G23" s="117">
        <f>Sheet1!B31</f>
        <v>123.47892694013079</v>
      </c>
      <c r="H23" s="108"/>
      <c r="M23">
        <f t="shared" si="35"/>
        <v>19</v>
      </c>
      <c r="N23" s="19">
        <f t="shared" si="0"/>
        <v>0.118874229935928</v>
      </c>
      <c r="O23" s="17">
        <f t="shared" si="34"/>
        <v>0.00118874229935928</v>
      </c>
      <c r="P23" s="19">
        <f>Sheet1!L30*100</f>
        <v>0.07497878224315555</v>
      </c>
      <c r="V23" s="5"/>
      <c r="W23" s="29">
        <f t="shared" si="8"/>
        <v>19</v>
      </c>
      <c r="X23" s="65">
        <f t="shared" si="9"/>
        <v>0.9999999999900661</v>
      </c>
      <c r="Y23" s="25">
        <f t="shared" si="1"/>
        <v>1.7233225957369314E-10</v>
      </c>
      <c r="Z23" s="25">
        <f t="shared" si="10"/>
        <v>1.7233225957369314E-08</v>
      </c>
      <c r="AA23" s="25">
        <f t="shared" si="11"/>
        <v>0</v>
      </c>
      <c r="AB23" s="5"/>
      <c r="AC23" s="34">
        <f t="shared" si="12"/>
        <v>19.00005</v>
      </c>
      <c r="AD23" s="66">
        <f t="shared" si="13"/>
        <v>0.9998182907817912</v>
      </c>
      <c r="AE23" s="30">
        <f t="shared" si="2"/>
        <v>0.0003691495232303055</v>
      </c>
      <c r="AF23" s="30">
        <f t="shared" si="14"/>
        <v>0.03691495232303055</v>
      </c>
      <c r="AG23" s="30">
        <f t="shared" si="15"/>
        <v>0</v>
      </c>
      <c r="AH23" s="16"/>
      <c r="AI23" s="39">
        <f t="shared" si="16"/>
        <v>19.00005</v>
      </c>
      <c r="AJ23" s="67">
        <f t="shared" si="17"/>
        <v>0.9999134728866899</v>
      </c>
      <c r="AK23" s="35">
        <f t="shared" si="3"/>
        <v>0.0003095412170970313</v>
      </c>
      <c r="AL23" s="35">
        <f t="shared" si="18"/>
        <v>0.03095412170970313</v>
      </c>
      <c r="AM23" s="35">
        <f t="shared" si="19"/>
        <v>0</v>
      </c>
      <c r="AO23" s="44">
        <f t="shared" si="20"/>
        <v>19.00005</v>
      </c>
      <c r="AP23" s="68">
        <f t="shared" si="21"/>
        <v>0.9995852919420104</v>
      </c>
      <c r="AQ23" s="40">
        <f t="shared" si="4"/>
        <v>0.001310751733876292</v>
      </c>
      <c r="AR23" s="40">
        <f t="shared" si="22"/>
        <v>0.1310751733876292</v>
      </c>
      <c r="AS23" s="40">
        <f t="shared" si="23"/>
        <v>0</v>
      </c>
      <c r="AU23" s="50">
        <f t="shared" si="33"/>
        <v>-33</v>
      </c>
      <c r="AV23" s="69">
        <f t="shared" si="24"/>
        <v>0.9982995384018774</v>
      </c>
      <c r="AW23" s="46">
        <f t="shared" si="5"/>
        <v>0.004325996949339883</v>
      </c>
      <c r="AX23" s="46">
        <f t="shared" si="25"/>
        <v>0.4325996949339883</v>
      </c>
      <c r="AY23" s="46">
        <f t="shared" si="26"/>
        <v>0</v>
      </c>
      <c r="BA23" s="55">
        <f t="shared" si="27"/>
        <v>19.00005</v>
      </c>
      <c r="BB23" s="70">
        <f t="shared" si="28"/>
        <v>0.9996642112784967</v>
      </c>
      <c r="BC23" s="51">
        <f t="shared" si="6"/>
        <v>0.00118874229935928</v>
      </c>
      <c r="BD23" s="51">
        <f t="shared" si="29"/>
        <v>0.118874229935928</v>
      </c>
      <c r="BE23" s="51">
        <f t="shared" si="30"/>
        <v>0.118874229935928</v>
      </c>
      <c r="BG23">
        <f t="shared" si="7"/>
        <v>0.118874229935928</v>
      </c>
      <c r="BI23" s="55">
        <f t="shared" si="31"/>
        <v>19.00005</v>
      </c>
      <c r="BJ23">
        <v>8.959195759900536E-05</v>
      </c>
      <c r="BK23">
        <f>Sheet1!Y30</f>
        <v>3.341721454448864E-05</v>
      </c>
      <c r="BL23" s="57">
        <f t="shared" si="32"/>
        <v>8.95919575990054E-05</v>
      </c>
      <c r="BM23" s="51"/>
    </row>
    <row r="24" spans="2:64" ht="14.25" thickBot="1" thickTop="1">
      <c r="B24" s="6" t="s">
        <v>285</v>
      </c>
      <c r="C24" s="141">
        <v>90</v>
      </c>
      <c r="D24" s="110" t="s">
        <v>16</v>
      </c>
      <c r="F24" s="77" t="s">
        <v>6</v>
      </c>
      <c r="G24" s="118">
        <f>Sheet1!B6</f>
        <v>392.73012576022126</v>
      </c>
      <c r="H24" s="123" t="s">
        <v>5</v>
      </c>
      <c r="BL24" s="19"/>
    </row>
    <row r="25" spans="1:64" ht="14.25" thickBot="1" thickTop="1">
      <c r="A25" s="59" t="s">
        <v>302</v>
      </c>
      <c r="F25" s="76" t="s">
        <v>176</v>
      </c>
      <c r="G25" s="121">
        <f>Sheet1!D42</f>
        <v>10215.544551207457</v>
      </c>
      <c r="H25" s="124" t="s">
        <v>266</v>
      </c>
      <c r="I25" s="73"/>
      <c r="J25" s="73"/>
      <c r="K25" s="270">
        <f>IF(H14=0,"WARNING, NO Private Brew Fuel selected","")</f>
      </c>
      <c r="L25" s="271"/>
      <c r="Z25">
        <f>SUM(Z5:Z23)</f>
        <v>99.9999999990066</v>
      </c>
      <c r="AF25">
        <f>SUM(AF5:AF23)</f>
        <v>99.98182907817912</v>
      </c>
      <c r="AL25">
        <f>SUM(AL5:AL23)</f>
        <v>99.99134728866896</v>
      </c>
      <c r="AR25">
        <f>SUM(AR5:AR23)</f>
        <v>99.95852919420103</v>
      </c>
      <c r="AX25">
        <f>SUM(AX5:AX23)</f>
        <v>99.82995384018774</v>
      </c>
      <c r="BD25">
        <f>SUM(BD5:BD23)</f>
        <v>99.96642112784966</v>
      </c>
      <c r="BG25">
        <f>SUM(BG5:BG23)</f>
        <v>99.96642112784966</v>
      </c>
      <c r="BJ25">
        <f>SUM(BJ5:BJ23)</f>
        <v>99.99999999999996</v>
      </c>
      <c r="BL25">
        <f>SUM(BL5:BL23)</f>
        <v>100.00000000000001</v>
      </c>
    </row>
    <row r="26" spans="2:12" ht="14.25" thickBot="1" thickTop="1">
      <c r="B26" t="s">
        <v>195</v>
      </c>
      <c r="F26" s="76" t="s">
        <v>196</v>
      </c>
      <c r="G26" s="122">
        <f>'Equiv ratio'!R29</f>
        <v>0.6500059897191323</v>
      </c>
      <c r="H26" s="134" t="s">
        <v>228</v>
      </c>
      <c r="I26" s="135"/>
      <c r="J26" s="135"/>
      <c r="K26" s="272"/>
      <c r="L26" s="273"/>
    </row>
    <row r="27" spans="2:62" ht="18" customHeight="1" thickBot="1" thickTop="1">
      <c r="B27" t="s">
        <v>85</v>
      </c>
      <c r="F27" s="83" t="s">
        <v>200</v>
      </c>
      <c r="G27" s="133">
        <f>'Equiv ratio'!U27</f>
        <v>2.003673672129579</v>
      </c>
      <c r="H27" s="136" t="s">
        <v>229</v>
      </c>
      <c r="I27" s="137"/>
      <c r="J27" s="194">
        <v>0.044</v>
      </c>
      <c r="K27" s="138" t="s">
        <v>230</v>
      </c>
      <c r="L27" s="139"/>
      <c r="AW27" s="45"/>
      <c r="BG27">
        <f aca="true" t="shared" si="37" ref="BG27:BG45">AA27+AG27+AM27+AS27+AY27+BE27</f>
        <v>0</v>
      </c>
      <c r="BJ27" s="51"/>
    </row>
    <row r="28" spans="2:62" ht="20.25" customHeight="1" thickBot="1" thickTop="1">
      <c r="B28" t="s">
        <v>210</v>
      </c>
      <c r="F28" s="83" t="s">
        <v>289</v>
      </c>
      <c r="G28" s="133">
        <f>(G23/(12+G27))/3*G25</f>
        <v>30025.561121214254</v>
      </c>
      <c r="H28" s="104" t="s">
        <v>241</v>
      </c>
      <c r="I28" s="72"/>
      <c r="J28" s="74"/>
      <c r="K28" s="142">
        <v>100</v>
      </c>
      <c r="L28" s="143" t="s">
        <v>16</v>
      </c>
      <c r="V28" s="5"/>
      <c r="X28" s="5" t="s">
        <v>202</v>
      </c>
      <c r="AB28" s="56"/>
      <c r="AC28" s="56"/>
      <c r="AD28" s="5" t="s">
        <v>202</v>
      </c>
      <c r="AJ28" s="5" t="s">
        <v>202</v>
      </c>
      <c r="AP28" s="5" t="s">
        <v>202</v>
      </c>
      <c r="AV28" s="5" t="s">
        <v>202</v>
      </c>
      <c r="BB28" s="5" t="s">
        <v>202</v>
      </c>
      <c r="BG28">
        <f t="shared" si="37"/>
        <v>0</v>
      </c>
      <c r="BJ28" s="5" t="s">
        <v>202</v>
      </c>
    </row>
    <row r="29" spans="2:63" ht="19.5" customHeight="1" thickBot="1" thickTop="1">
      <c r="B29" t="s">
        <v>86</v>
      </c>
      <c r="E29" s="18" t="str">
        <f>IF(Sheet1!O9&lt;0.9995,"ERROR",(IF(Sheet1!O9&gt;1.002,"ERROR","ok")))</f>
        <v>ok</v>
      </c>
      <c r="F29" s="76" t="s">
        <v>231</v>
      </c>
      <c r="G29" s="122">
        <f>G21/0.01451</f>
        <v>10.349311158011682</v>
      </c>
      <c r="H29" s="104" t="s">
        <v>239</v>
      </c>
      <c r="I29" s="74"/>
      <c r="J29" s="74"/>
      <c r="K29" s="142">
        <v>400</v>
      </c>
      <c r="L29" s="143" t="s">
        <v>16</v>
      </c>
      <c r="X29" s="5" t="s">
        <v>201</v>
      </c>
      <c r="Y29" s="5" t="s">
        <v>92</v>
      </c>
      <c r="AD29" s="5" t="s">
        <v>201</v>
      </c>
      <c r="AE29" s="5" t="s">
        <v>92</v>
      </c>
      <c r="AJ29" s="5" t="s">
        <v>201</v>
      </c>
      <c r="AK29" s="5" t="s">
        <v>92</v>
      </c>
      <c r="AP29" s="5" t="s">
        <v>201</v>
      </c>
      <c r="AQ29" s="5" t="s">
        <v>92</v>
      </c>
      <c r="AV29" s="5" t="s">
        <v>201</v>
      </c>
      <c r="AW29" s="5" t="s">
        <v>92</v>
      </c>
      <c r="BB29" s="5" t="s">
        <v>201</v>
      </c>
      <c r="BC29" s="5" t="s">
        <v>92</v>
      </c>
      <c r="BG29">
        <f t="shared" si="37"/>
        <v>0</v>
      </c>
      <c r="BJ29" s="5" t="s">
        <v>201</v>
      </c>
      <c r="BK29" s="5" t="s">
        <v>92</v>
      </c>
    </row>
    <row r="30" spans="2:63" ht="21.75" customHeight="1" thickBot="1" thickTop="1">
      <c r="B30" t="s">
        <v>98</v>
      </c>
      <c r="E30" s="18" t="str">
        <f>IF(C22-G21&lt;0,"ERROR, Fuel to hot to calculate values accurately","ok")</f>
        <v>ok</v>
      </c>
      <c r="F30" s="76" t="s">
        <v>269</v>
      </c>
      <c r="G30" s="122">
        <f>Sheet1!B48</f>
        <v>0</v>
      </c>
      <c r="H30" s="104" t="s">
        <v>240</v>
      </c>
      <c r="I30" s="75"/>
      <c r="J30" s="75"/>
      <c r="K30" s="142">
        <v>65</v>
      </c>
      <c r="L30" s="144" t="s">
        <v>16</v>
      </c>
      <c r="X30">
        <f>T8</f>
        <v>200</v>
      </c>
      <c r="Y30">
        <f>U8</f>
        <v>62</v>
      </c>
      <c r="AD30">
        <f>T10</f>
        <v>295</v>
      </c>
      <c r="AE30">
        <f>U10</f>
        <v>90</v>
      </c>
      <c r="AJ30">
        <f>T12</f>
        <v>360.51</v>
      </c>
      <c r="AK30">
        <f>U12</f>
        <v>68</v>
      </c>
      <c r="AP30">
        <f>T14</f>
        <v>398.6</v>
      </c>
      <c r="AQ30">
        <f>U14</f>
        <v>65</v>
      </c>
      <c r="AV30">
        <f>T16</f>
        <v>425.5</v>
      </c>
      <c r="AW30">
        <f>U16</f>
        <v>65</v>
      </c>
      <c r="BB30">
        <f>T18</f>
        <v>404.820031950439</v>
      </c>
      <c r="BC30">
        <f>U18</f>
        <v>62.059820246468504</v>
      </c>
      <c r="BG30">
        <f t="shared" si="37"/>
        <v>0</v>
      </c>
      <c r="BJ30">
        <v>400</v>
      </c>
      <c r="BK30">
        <v>60</v>
      </c>
    </row>
    <row r="31" spans="2:59" ht="21" customHeight="1" thickBot="1" thickTop="1">
      <c r="B31">
        <f>Sheet1!O9</f>
        <v>1.0009220711830735</v>
      </c>
      <c r="C31" s="1" t="s">
        <v>106</v>
      </c>
      <c r="F31" s="76" t="s">
        <v>384</v>
      </c>
      <c r="G31" s="121">
        <f>Sheet1!D4</f>
        <v>785.4602515204425</v>
      </c>
      <c r="H31" s="267" t="s">
        <v>18</v>
      </c>
      <c r="I31" s="74"/>
      <c r="J31" s="74"/>
      <c r="K31" s="74"/>
      <c r="BG31">
        <f t="shared" si="37"/>
        <v>0</v>
      </c>
    </row>
    <row r="32" spans="2:59" ht="14.25" thickBot="1" thickTop="1">
      <c r="B32" s="18" t="str">
        <f>IF($G$22&gt;99.975,"Error, Too close to 100% evaporated, use 100% values below"," ")</f>
        <v> </v>
      </c>
      <c r="G32" s="146" t="s">
        <v>301</v>
      </c>
      <c r="H32" s="150"/>
      <c r="I32" s="196">
        <f>'Equiv ratio'!R27</f>
        <v>0.06769114258855778</v>
      </c>
      <c r="AB32" s="56"/>
      <c r="AC32" s="56"/>
      <c r="BG32">
        <f t="shared" si="37"/>
        <v>0</v>
      </c>
    </row>
    <row r="33" spans="1:59" ht="12.75">
      <c r="A33" t="s">
        <v>111</v>
      </c>
      <c r="G33" s="146" t="s">
        <v>325</v>
      </c>
      <c r="H33" s="147"/>
      <c r="I33" s="147"/>
      <c r="J33" s="148"/>
      <c r="BG33">
        <f t="shared" si="37"/>
        <v>0</v>
      </c>
    </row>
    <row r="34" spans="1:59" ht="13.5" thickBot="1">
      <c r="A34" t="s">
        <v>109</v>
      </c>
      <c r="G34" s="149"/>
      <c r="H34" s="150" t="s">
        <v>71</v>
      </c>
      <c r="I34" s="150" t="s">
        <v>72</v>
      </c>
      <c r="J34" s="151" t="s">
        <v>73</v>
      </c>
      <c r="BG34">
        <f t="shared" si="37"/>
        <v>0</v>
      </c>
    </row>
    <row r="35" spans="1:59" ht="13.5" thickBot="1">
      <c r="A35" t="s">
        <v>108</v>
      </c>
      <c r="C35">
        <f>IF($G$22&gt;99.5,Sheet1!AK9,"")</f>
      </c>
      <c r="D35" t="s">
        <v>4</v>
      </c>
      <c r="G35" s="149" t="s">
        <v>327</v>
      </c>
      <c r="H35" s="197">
        <f>Sheet1!AS6</f>
        <v>4.176492094904013</v>
      </c>
      <c r="I35" s="197">
        <f>Sheet1!AT6</f>
        <v>1798.8523336507596</v>
      </c>
      <c r="J35" s="198">
        <f>Sheet1!AU6</f>
        <v>-30.806193021897332</v>
      </c>
      <c r="BG35">
        <f t="shared" si="37"/>
        <v>0</v>
      </c>
    </row>
    <row r="36" spans="1:59" ht="13.5" thickBot="1">
      <c r="A36" t="s">
        <v>110</v>
      </c>
      <c r="C36">
        <f>IF($G$22&gt;99.5,Sheet1!B12/Sheet1!B33,"")</f>
      </c>
      <c r="D36" s="6" t="str">
        <f>IF(D37&gt;C20,"error",(IF(C36&gt;0.24,"rich",(IF(C36&lt;0.03,"lean","flammable")))))</f>
        <v>rich</v>
      </c>
      <c r="G36" s="149" t="s">
        <v>329</v>
      </c>
      <c r="H36" s="150"/>
      <c r="I36" s="150"/>
      <c r="J36" s="151"/>
      <c r="BG36">
        <f t="shared" si="37"/>
        <v>0</v>
      </c>
    </row>
    <row r="37" spans="7:59" ht="13.5" thickBot="1">
      <c r="G37" s="195">
        <v>120</v>
      </c>
      <c r="H37" s="161" t="s">
        <v>326</v>
      </c>
      <c r="I37" s="161"/>
      <c r="J37" s="156"/>
      <c r="BG37">
        <f t="shared" si="37"/>
        <v>0</v>
      </c>
    </row>
    <row r="38" spans="7:59" ht="13.5" thickBot="1">
      <c r="G38" s="87" t="s">
        <v>328</v>
      </c>
      <c r="H38" s="171"/>
      <c r="I38" s="171"/>
      <c r="J38" s="172"/>
      <c r="O38" s="81"/>
      <c r="Z38" s="63"/>
      <c r="BG38">
        <f t="shared" si="37"/>
        <v>0</v>
      </c>
    </row>
    <row r="39" spans="20:63" ht="13.5" thickBot="1">
      <c r="T39" t="s">
        <v>168</v>
      </c>
      <c r="U39" t="s">
        <v>171</v>
      </c>
      <c r="V39" t="s">
        <v>169</v>
      </c>
      <c r="Y39" t="s">
        <v>204</v>
      </c>
      <c r="AE39" t="s">
        <v>204</v>
      </c>
      <c r="AF39" s="64"/>
      <c r="AK39" t="s">
        <v>204</v>
      </c>
      <c r="AL39" s="64"/>
      <c r="AQ39" t="s">
        <v>204</v>
      </c>
      <c r="AW39" t="s">
        <v>204</v>
      </c>
      <c r="BC39" t="s">
        <v>204</v>
      </c>
      <c r="BG39">
        <f t="shared" si="37"/>
        <v>0</v>
      </c>
      <c r="BK39" t="s">
        <v>204</v>
      </c>
    </row>
    <row r="40" spans="2:63" ht="13.5" thickBot="1">
      <c r="B40" s="157" t="s">
        <v>119</v>
      </c>
      <c r="C40" s="147"/>
      <c r="D40" s="147"/>
      <c r="E40" s="147"/>
      <c r="F40" s="148"/>
      <c r="U40" t="s">
        <v>75</v>
      </c>
      <c r="V40" t="s">
        <v>170</v>
      </c>
      <c r="W40" t="s">
        <v>16</v>
      </c>
      <c r="X40" t="s">
        <v>203</v>
      </c>
      <c r="Y40" t="s">
        <v>205</v>
      </c>
      <c r="AD40" t="s">
        <v>203</v>
      </c>
      <c r="AE40" t="s">
        <v>205</v>
      </c>
      <c r="AF40" s="63"/>
      <c r="AJ40" t="s">
        <v>203</v>
      </c>
      <c r="AK40" t="s">
        <v>205</v>
      </c>
      <c r="AL40" s="63"/>
      <c r="AP40" t="s">
        <v>203</v>
      </c>
      <c r="AQ40" t="s">
        <v>205</v>
      </c>
      <c r="AV40" t="s">
        <v>203</v>
      </c>
      <c r="AW40" t="s">
        <v>205</v>
      </c>
      <c r="BB40" t="s">
        <v>203</v>
      </c>
      <c r="BC40" t="s">
        <v>205</v>
      </c>
      <c r="BG40">
        <f t="shared" si="37"/>
        <v>0</v>
      </c>
      <c r="BJ40" t="s">
        <v>203</v>
      </c>
      <c r="BK40" t="s">
        <v>205</v>
      </c>
    </row>
    <row r="41" spans="2:64" ht="13.5" thickBot="1">
      <c r="B41" s="149" t="s">
        <v>113</v>
      </c>
      <c r="C41" s="162">
        <v>24000</v>
      </c>
      <c r="D41" s="150" t="s">
        <v>114</v>
      </c>
      <c r="E41" s="164">
        <f>14.7*((1-C41*0.001/145.45)^5.2561)</f>
        <v>5.6974368746630155</v>
      </c>
      <c r="F41" s="151" t="s">
        <v>4</v>
      </c>
      <c r="I41" s="146" t="s">
        <v>286</v>
      </c>
      <c r="J41" s="147"/>
      <c r="K41" s="148"/>
      <c r="O41">
        <v>143.1967687261899</v>
      </c>
      <c r="R41">
        <v>143.1967687261899</v>
      </c>
      <c r="T41">
        <v>1</v>
      </c>
      <c r="U41">
        <v>111.19753218232304</v>
      </c>
      <c r="V41">
        <f>R41</f>
        <v>143.1967687261899</v>
      </c>
      <c r="W41">
        <f>((V41-273)+40)*9/5-40</f>
        <v>-201.64581629285817</v>
      </c>
      <c r="X41" s="17">
        <f>NORMDIST($W41,$X$30,$Y$30,TRUE)</f>
        <v>4.665023922711953E-11</v>
      </c>
      <c r="Y41" s="17">
        <f>X42-X41</f>
        <v>1.6936142618328986E-06</v>
      </c>
      <c r="Z41">
        <f>X41*100</f>
        <v>4.665023922711953E-09</v>
      </c>
      <c r="AA41">
        <v>9.285753277410436E-08</v>
      </c>
      <c r="AB41" s="16"/>
      <c r="AD41" s="17">
        <f>NORMDIST($W41,$AD$30,$AE$30,TRUE)</f>
        <v>1.715886133180078E-08</v>
      </c>
      <c r="AE41" s="17">
        <f>AD42-AD41</f>
        <v>1.0388127466676167E-05</v>
      </c>
      <c r="AF41">
        <f>AD41*100</f>
        <v>1.7158861331800779E-06</v>
      </c>
      <c r="AJ41" s="17">
        <f>NORMDIST($W41,$AJ$30,$AK$30,TRUE)</f>
        <v>1.1102230246251565E-16</v>
      </c>
      <c r="AK41" s="17">
        <f>AJ42-AJ41</f>
        <v>2.1152968265880645E-11</v>
      </c>
      <c r="AL41">
        <f>AJ41*100</f>
        <v>1.1102230246251565E-14</v>
      </c>
      <c r="AP41" s="17">
        <f>NORMDIST($W41,$AP$30,$AQ$30,TRUE)</f>
        <v>0</v>
      </c>
      <c r="AQ41" s="17">
        <f>AP42-AP41</f>
        <v>3.552713678800501E-14</v>
      </c>
      <c r="AR41">
        <f>AP41*100</f>
        <v>0</v>
      </c>
      <c r="AV41" s="17">
        <f>NORMDIST($W41,$AV$30,$AW$30,TRUE)</f>
        <v>0</v>
      </c>
      <c r="AW41" s="17">
        <f>AV42-AV41</f>
        <v>1.4432899320127035E-15</v>
      </c>
      <c r="AX41">
        <f>AV41*100</f>
        <v>0</v>
      </c>
      <c r="BB41" s="17">
        <f>NORMDIST($W41,$BB$30,$BC$30,TRUE)</f>
        <v>0</v>
      </c>
      <c r="BC41" s="17">
        <f>BB42-BB41</f>
        <v>9.992007221626409E-16</v>
      </c>
      <c r="BD41">
        <f>BB41*100</f>
        <v>0</v>
      </c>
      <c r="BG41">
        <f t="shared" si="37"/>
        <v>9.285753277410436E-08</v>
      </c>
      <c r="BJ41" s="17">
        <f>NORMDIST($W41,$BJ$30,$BK$30,TRUE)</f>
        <v>0</v>
      </c>
      <c r="BK41" s="17">
        <f>BJ42-BJ41</f>
        <v>2.220446049250313E-16</v>
      </c>
      <c r="BL41">
        <f>BJ41*100</f>
        <v>0</v>
      </c>
    </row>
    <row r="42" spans="2:64" ht="13.5" thickBot="1">
      <c r="B42" s="149" t="s">
        <v>115</v>
      </c>
      <c r="C42" s="162">
        <v>0.3</v>
      </c>
      <c r="D42" s="158" t="s">
        <v>116</v>
      </c>
      <c r="E42" s="164">
        <f>C42*14.7</f>
        <v>4.409999999999999</v>
      </c>
      <c r="F42" s="151" t="s">
        <v>4</v>
      </c>
      <c r="I42" s="149"/>
      <c r="J42" s="150"/>
      <c r="K42" s="151"/>
      <c r="O42">
        <v>206.3247045899068</v>
      </c>
      <c r="R42">
        <v>206.30296857217135</v>
      </c>
      <c r="T42">
        <f>T41+1</f>
        <v>2</v>
      </c>
      <c r="U42">
        <v>184.2360052700568</v>
      </c>
      <c r="V42">
        <f aca="true" t="shared" si="38" ref="V42:V60">R42</f>
        <v>206.30296857217135</v>
      </c>
      <c r="W42">
        <f aca="true" t="shared" si="39" ref="W42:W60">((V42-273)+40)*9/5-40</f>
        <v>-88.05465657009157</v>
      </c>
      <c r="X42" s="17">
        <f aca="true" t="shared" si="40" ref="X42:X60">NORMDIST(W42,$X$30,$Y$30,TRUE)</f>
        <v>1.6936609120721258E-06</v>
      </c>
      <c r="Y42" s="17">
        <f aca="true" t="shared" si="41" ref="Y42:Y59">X43-X42</f>
        <v>0.0006177331060545077</v>
      </c>
      <c r="Z42">
        <f aca="true" t="shared" si="42" ref="Z42:Z59">X42*100</f>
        <v>0.00016936609120721258</v>
      </c>
      <c r="AA42">
        <v>0.001330014133393842</v>
      </c>
      <c r="AB42" s="16"/>
      <c r="AD42" s="17">
        <f aca="true" t="shared" si="43" ref="AD42:AD60">NORMDIST($W42,$AD$30,$AE$30,TRUE)</f>
        <v>1.0405286328007968E-05</v>
      </c>
      <c r="AE42" s="17">
        <f aca="true" t="shared" si="44" ref="AE42:AE59">AD43-AD42</f>
        <v>0.0005077059043442356</v>
      </c>
      <c r="AF42">
        <f aca="true" t="shared" si="45" ref="AF42:AF59">AD42*100</f>
        <v>0.0010405286328007968</v>
      </c>
      <c r="AJ42" s="17">
        <f aca="true" t="shared" si="46" ref="AJ42:AJ60">NORMDIST($W42,$AJ$30,$AK$30,TRUE)</f>
        <v>2.1153079288183108E-11</v>
      </c>
      <c r="AK42" s="17">
        <f aca="true" t="shared" si="47" ref="AK42:AK59">AJ43-AJ42</f>
        <v>5.635069522114122E-08</v>
      </c>
      <c r="AL42">
        <f aca="true" t="shared" si="48" ref="AL42:AL59">AJ42*100</f>
        <v>2.1153079288183108E-09</v>
      </c>
      <c r="AP42" s="17">
        <f aca="true" t="shared" si="49" ref="AP42:AP60">NORMDIST($W42,$AP$30,$AQ$30,TRUE)</f>
        <v>3.552713678800501E-14</v>
      </c>
      <c r="AQ42" s="17">
        <f aca="true" t="shared" si="50" ref="AQ42:AQ59">AP43-AP42</f>
        <v>4.24415613764495E-10</v>
      </c>
      <c r="AR42">
        <f aca="true" t="shared" si="51" ref="AR42:AR59">AP42*100</f>
        <v>3.552713678800501E-12</v>
      </c>
      <c r="AV42" s="17">
        <f aca="true" t="shared" si="52" ref="AV42:AV60">NORMDIST($W42,$AV$30,$AW$30,TRUE)</f>
        <v>1.4432899320127035E-15</v>
      </c>
      <c r="AW42" s="17">
        <f aca="true" t="shared" si="53" ref="AW42:AW59">AV43-AV42</f>
        <v>2.8918534233923765E-11</v>
      </c>
      <c r="AX42">
        <f aca="true" t="shared" si="54" ref="AX42:AX59">AV42*100</f>
        <v>1.4432899320127035E-13</v>
      </c>
      <c r="BB42" s="17">
        <f aca="true" t="shared" si="55" ref="BB42:BB60">NORMDIST($W42,$BB$30,$BC$30,TRUE)</f>
        <v>9.992007221626409E-16</v>
      </c>
      <c r="BC42" s="17">
        <f aca="true" t="shared" si="56" ref="BC42:BC59">BB43-BB42</f>
        <v>3.3703373425453265E-11</v>
      </c>
      <c r="BD42">
        <f aca="true" t="shared" si="57" ref="BD42:BD59">BB42*100</f>
        <v>9.992007221626409E-14</v>
      </c>
      <c r="BG42">
        <f t="shared" si="37"/>
        <v>0.001330014133393842</v>
      </c>
      <c r="BJ42" s="17">
        <f aca="true" t="shared" si="58" ref="BJ42:BJ60">NORMDIST($W42,$BJ$30,$BK$30,TRUE)</f>
        <v>2.220446049250313E-16</v>
      </c>
      <c r="BK42" s="17">
        <f aca="true" t="shared" si="59" ref="BK42:BK59">BJ43-BJ42</f>
        <v>1.2789325154471953E-11</v>
      </c>
      <c r="BL42">
        <f aca="true" t="shared" si="60" ref="BL42:BL59">BJ42*100</f>
        <v>2.220446049250313E-14</v>
      </c>
    </row>
    <row r="43" spans="2:64" ht="13.5" thickBot="1">
      <c r="B43" s="149" t="s">
        <v>13</v>
      </c>
      <c r="C43" s="162">
        <v>6</v>
      </c>
      <c r="D43" s="158" t="s">
        <v>155</v>
      </c>
      <c r="E43" s="164">
        <f>(145.45*(1-(C43/14.7)^(1/5.2561)))*1000</f>
        <v>22798.495231940233</v>
      </c>
      <c r="F43" s="151" t="s">
        <v>117</v>
      </c>
      <c r="I43" s="152" t="s">
        <v>273</v>
      </c>
      <c r="J43" s="153">
        <v>1.78E-07</v>
      </c>
      <c r="K43" s="151"/>
      <c r="O43">
        <v>255.12155468680055</v>
      </c>
      <c r="R43">
        <v>255.08434821586278</v>
      </c>
      <c r="T43">
        <f aca="true" t="shared" si="61" ref="T43:T59">T42+1</f>
        <v>3</v>
      </c>
      <c r="U43">
        <v>230.11932661786216</v>
      </c>
      <c r="V43">
        <f t="shared" si="38"/>
        <v>255.08434821586278</v>
      </c>
      <c r="W43">
        <f t="shared" si="39"/>
        <v>-0.24817321144700344</v>
      </c>
      <c r="X43" s="17">
        <f t="shared" si="40"/>
        <v>0.0006194267669665798</v>
      </c>
      <c r="Y43" s="17">
        <f t="shared" si="41"/>
        <v>0.019560998171787802</v>
      </c>
      <c r="Z43">
        <f t="shared" si="42"/>
        <v>0.06194267669665798</v>
      </c>
      <c r="AA43">
        <v>0.20251487050536587</v>
      </c>
      <c r="AB43" s="16"/>
      <c r="AD43" s="17">
        <f t="shared" si="43"/>
        <v>0.0005181111906722435</v>
      </c>
      <c r="AE43" s="17">
        <f t="shared" si="44"/>
        <v>0.006279169243382121</v>
      </c>
      <c r="AF43">
        <f t="shared" si="45"/>
        <v>0.051811119067224354</v>
      </c>
      <c r="AJ43" s="17">
        <f t="shared" si="46"/>
        <v>5.6371848300429406E-08</v>
      </c>
      <c r="AK43" s="17">
        <f t="shared" si="47"/>
        <v>1.1657082137683794E-05</v>
      </c>
      <c r="AL43">
        <f t="shared" si="48"/>
        <v>5.6371848300429406E-06</v>
      </c>
      <c r="AP43" s="17">
        <f t="shared" si="49"/>
        <v>4.24451140901283E-10</v>
      </c>
      <c r="AQ43" s="17">
        <f t="shared" si="50"/>
        <v>2.710258000249155E-07</v>
      </c>
      <c r="AR43">
        <f t="shared" si="51"/>
        <v>4.24451140901283E-08</v>
      </c>
      <c r="AV43" s="17">
        <f t="shared" si="52"/>
        <v>2.8919977523855778E-11</v>
      </c>
      <c r="AW43" s="17">
        <f t="shared" si="53"/>
        <v>2.9072648954908686E-08</v>
      </c>
      <c r="AX43">
        <f t="shared" si="54"/>
        <v>2.8919977523855778E-09</v>
      </c>
      <c r="BB43" s="17">
        <f t="shared" si="55"/>
        <v>3.370437262617543E-11</v>
      </c>
      <c r="BC43" s="17">
        <f t="shared" si="56"/>
        <v>4.442448875430216E-08</v>
      </c>
      <c r="BD43">
        <f t="shared" si="57"/>
        <v>3.3704372626175427E-09</v>
      </c>
      <c r="BG43">
        <f t="shared" si="37"/>
        <v>0.20251487050536587</v>
      </c>
      <c r="BJ43" s="17">
        <f t="shared" si="58"/>
        <v>1.2789547199076878E-11</v>
      </c>
      <c r="BK43" s="17">
        <f t="shared" si="59"/>
        <v>2.4991195224366436E-08</v>
      </c>
      <c r="BL43">
        <f t="shared" si="60"/>
        <v>1.2789547199076878E-09</v>
      </c>
    </row>
    <row r="44" spans="2:64" ht="13.5" thickBot="1">
      <c r="B44" s="149" t="s">
        <v>13</v>
      </c>
      <c r="C44" s="162">
        <v>1</v>
      </c>
      <c r="D44" s="158" t="s">
        <v>155</v>
      </c>
      <c r="E44" s="164">
        <f>C44/14.7</f>
        <v>0.06802721088435375</v>
      </c>
      <c r="F44" s="151" t="s">
        <v>118</v>
      </c>
      <c r="I44" s="154" t="s">
        <v>274</v>
      </c>
      <c r="J44" s="155">
        <v>-1.6349999999999998E-06</v>
      </c>
      <c r="K44" s="156"/>
      <c r="O44">
        <v>295.7703128655273</v>
      </c>
      <c r="R44">
        <v>295.7210059607704</v>
      </c>
      <c r="T44">
        <f t="shared" si="61"/>
        <v>4</v>
      </c>
      <c r="U44">
        <v>272.4175050854178</v>
      </c>
      <c r="V44">
        <f t="shared" si="38"/>
        <v>295.7210059607704</v>
      </c>
      <c r="W44">
        <f t="shared" si="39"/>
        <v>72.89781072938675</v>
      </c>
      <c r="X44" s="17">
        <f t="shared" si="40"/>
        <v>0.020180424938754382</v>
      </c>
      <c r="Y44" s="17">
        <f t="shared" si="41"/>
        <v>0.13223538142091618</v>
      </c>
      <c r="Z44">
        <f t="shared" si="42"/>
        <v>2.018042493875438</v>
      </c>
      <c r="AA44">
        <v>4.299978061366527</v>
      </c>
      <c r="AB44" s="16"/>
      <c r="AD44" s="17">
        <f t="shared" si="43"/>
        <v>0.006797280434054365</v>
      </c>
      <c r="AE44" s="17">
        <f t="shared" si="44"/>
        <v>0.032199891445961915</v>
      </c>
      <c r="AF44">
        <f t="shared" si="45"/>
        <v>0.6797280434054365</v>
      </c>
      <c r="AJ44" s="17">
        <f t="shared" si="46"/>
        <v>1.1713453985984223E-05</v>
      </c>
      <c r="AK44" s="17">
        <f t="shared" si="47"/>
        <v>0.00047865668421731566</v>
      </c>
      <c r="AL44">
        <f t="shared" si="48"/>
        <v>0.0011713453985984223</v>
      </c>
      <c r="AP44" s="17">
        <f t="shared" si="49"/>
        <v>2.714502511658168E-07</v>
      </c>
      <c r="AQ44" s="17">
        <f t="shared" si="50"/>
        <v>2.7141927720131243E-05</v>
      </c>
      <c r="AR44">
        <f t="shared" si="51"/>
        <v>2.7145025116581678E-05</v>
      </c>
      <c r="AV44" s="17">
        <f t="shared" si="52"/>
        <v>2.9101568932432542E-08</v>
      </c>
      <c r="AW44" s="17">
        <f t="shared" si="53"/>
        <v>4.308355728732671E-06</v>
      </c>
      <c r="AX44">
        <f t="shared" si="54"/>
        <v>2.9101568932432542E-06</v>
      </c>
      <c r="BB44" s="17">
        <f t="shared" si="55"/>
        <v>4.4458193126928336E-08</v>
      </c>
      <c r="BC44" s="17">
        <f t="shared" si="56"/>
        <v>7.570393902422978E-06</v>
      </c>
      <c r="BD44">
        <f t="shared" si="57"/>
        <v>4.445819312692834E-06</v>
      </c>
      <c r="BG44">
        <f t="shared" si="37"/>
        <v>4.299978061366527</v>
      </c>
      <c r="BJ44" s="17">
        <f t="shared" si="58"/>
        <v>2.5003984771565513E-08</v>
      </c>
      <c r="BK44" s="17">
        <f t="shared" si="59"/>
        <v>5.552278798059973E-06</v>
      </c>
      <c r="BL44">
        <f t="shared" si="60"/>
        <v>2.5003984771565513E-06</v>
      </c>
    </row>
    <row r="45" spans="2:64" ht="13.5" thickBot="1">
      <c r="B45" s="149" t="s">
        <v>13</v>
      </c>
      <c r="C45" s="163">
        <f>G21</f>
        <v>0.15016850490274952</v>
      </c>
      <c r="D45" s="158" t="s">
        <v>155</v>
      </c>
      <c r="E45" s="164">
        <f>C45/0.01451</f>
        <v>10.349311158011682</v>
      </c>
      <c r="F45" s="151" t="s">
        <v>144</v>
      </c>
      <c r="O45">
        <v>331.0482272623441</v>
      </c>
      <c r="R45">
        <v>330.9889483699417</v>
      </c>
      <c r="T45">
        <f t="shared" si="61"/>
        <v>5</v>
      </c>
      <c r="U45">
        <v>308.8332449359421</v>
      </c>
      <c r="V45">
        <f t="shared" si="38"/>
        <v>330.9889483699417</v>
      </c>
      <c r="W45">
        <f t="shared" si="39"/>
        <v>136.38010706589503</v>
      </c>
      <c r="X45" s="17">
        <f t="shared" si="40"/>
        <v>0.15241580635967056</v>
      </c>
      <c r="Y45" s="17">
        <f t="shared" si="41"/>
        <v>0.29984032401236693</v>
      </c>
      <c r="Z45">
        <f t="shared" si="42"/>
        <v>15.241580635967056</v>
      </c>
      <c r="AA45">
        <v>20.773655147048842</v>
      </c>
      <c r="AB45" s="16"/>
      <c r="AD45" s="17">
        <f t="shared" si="43"/>
        <v>0.03899717188001628</v>
      </c>
      <c r="AE45" s="17">
        <f t="shared" si="44"/>
        <v>0.08852203013457605</v>
      </c>
      <c r="AF45">
        <f t="shared" si="45"/>
        <v>3.899717188001628</v>
      </c>
      <c r="AJ45" s="17">
        <f t="shared" si="46"/>
        <v>0.0004903701382032999</v>
      </c>
      <c r="AK45" s="17">
        <f t="shared" si="47"/>
        <v>0.0062687033480356424</v>
      </c>
      <c r="AL45">
        <f t="shared" si="48"/>
        <v>0.04903701382032999</v>
      </c>
      <c r="AP45" s="17">
        <f t="shared" si="49"/>
        <v>2.741337797129706E-05</v>
      </c>
      <c r="AQ45" s="17">
        <f t="shared" si="50"/>
        <v>0.0007353427986593886</v>
      </c>
      <c r="AR45">
        <f t="shared" si="51"/>
        <v>0.002741337797129706</v>
      </c>
      <c r="AV45" s="17">
        <f t="shared" si="52"/>
        <v>4.337457297665104E-06</v>
      </c>
      <c r="AW45" s="17">
        <f t="shared" si="53"/>
        <v>0.00016510919663981216</v>
      </c>
      <c r="AX45">
        <f t="shared" si="54"/>
        <v>0.0004337457297665104</v>
      </c>
      <c r="BB45" s="17">
        <f t="shared" si="55"/>
        <v>7.614852095549907E-06</v>
      </c>
      <c r="BC45" s="17">
        <f t="shared" si="56"/>
        <v>0.0003052969273099615</v>
      </c>
      <c r="BD45">
        <f t="shared" si="57"/>
        <v>0.0007614852095549907</v>
      </c>
      <c r="BG45">
        <f t="shared" si="37"/>
        <v>20.773655147048842</v>
      </c>
      <c r="BJ45" s="17">
        <f t="shared" si="58"/>
        <v>5.5772827828315386E-06</v>
      </c>
      <c r="BK45" s="17">
        <f t="shared" si="59"/>
        <v>0.0002672834837438298</v>
      </c>
      <c r="BL45">
        <f t="shared" si="60"/>
        <v>0.0005577282782831539</v>
      </c>
    </row>
    <row r="46" spans="2:64" ht="13.5" thickBot="1">
      <c r="B46" s="149" t="s">
        <v>144</v>
      </c>
      <c r="C46" s="162">
        <v>1</v>
      </c>
      <c r="D46" s="158" t="s">
        <v>156</v>
      </c>
      <c r="E46" s="164">
        <f>0.01451*C46</f>
        <v>0.01451</v>
      </c>
      <c r="F46" s="151" t="s">
        <v>4</v>
      </c>
      <c r="O46">
        <v>362.46904488188954</v>
      </c>
      <c r="R46">
        <v>362.20126972256907</v>
      </c>
      <c r="T46">
        <f t="shared" si="61"/>
        <v>6</v>
      </c>
      <c r="U46">
        <v>341.4728662818001</v>
      </c>
      <c r="V46">
        <f t="shared" si="38"/>
        <v>362.20126972256907</v>
      </c>
      <c r="W46">
        <f t="shared" si="39"/>
        <v>192.56228550062434</v>
      </c>
      <c r="X46" s="17">
        <f t="shared" si="40"/>
        <v>0.4522561303720375</v>
      </c>
      <c r="Y46" s="17">
        <f t="shared" si="41"/>
        <v>0.2895437341237729</v>
      </c>
      <c r="Z46">
        <f t="shared" si="42"/>
        <v>45.22561303720375</v>
      </c>
      <c r="AA46">
        <v>34.99432524361781</v>
      </c>
      <c r="AB46" s="16"/>
      <c r="AD46" s="17">
        <f t="shared" si="43"/>
        <v>0.12751920201459233</v>
      </c>
      <c r="AE46" s="17">
        <f t="shared" si="44"/>
        <v>0.14389783012054935</v>
      </c>
      <c r="AF46">
        <f t="shared" si="45"/>
        <v>12.751920201459232</v>
      </c>
      <c r="AJ46" s="17">
        <f t="shared" si="46"/>
        <v>0.006759073486238942</v>
      </c>
      <c r="AK46" s="17">
        <f t="shared" si="47"/>
        <v>0.031705060260467044</v>
      </c>
      <c r="AL46">
        <f t="shared" si="48"/>
        <v>0.6759073486238942</v>
      </c>
      <c r="AP46" s="17">
        <f t="shared" si="49"/>
        <v>0.0007627561766306856</v>
      </c>
      <c r="AQ46" s="17">
        <f t="shared" si="50"/>
        <v>0.006653764926678796</v>
      </c>
      <c r="AR46">
        <f t="shared" si="51"/>
        <v>0.07627561766306856</v>
      </c>
      <c r="AV46" s="17">
        <f t="shared" si="52"/>
        <v>0.00016944665393747727</v>
      </c>
      <c r="AW46" s="17">
        <f t="shared" si="53"/>
        <v>0.002014681788589545</v>
      </c>
      <c r="AX46">
        <f t="shared" si="54"/>
        <v>0.016944665393747727</v>
      </c>
      <c r="BB46" s="17">
        <f t="shared" si="55"/>
        <v>0.0003129117794055114</v>
      </c>
      <c r="BC46" s="17">
        <f t="shared" si="56"/>
        <v>0.0036869385235877017</v>
      </c>
      <c r="BD46">
        <f t="shared" si="57"/>
        <v>0.03129117794055114</v>
      </c>
      <c r="BJ46" s="17">
        <f t="shared" si="58"/>
        <v>0.00027286076652666136</v>
      </c>
      <c r="BK46" s="17">
        <f t="shared" si="59"/>
        <v>0.003601865769825574</v>
      </c>
      <c r="BL46">
        <f t="shared" si="60"/>
        <v>0.027286076652666136</v>
      </c>
    </row>
    <row r="47" spans="2:64" ht="13.5" thickBot="1">
      <c r="B47" s="149" t="s">
        <v>6</v>
      </c>
      <c r="C47" s="162">
        <v>400</v>
      </c>
      <c r="D47" s="150" t="s">
        <v>157</v>
      </c>
      <c r="E47" s="165">
        <f>(C47/Sheet1!B22)*100</f>
        <v>50.9255559687083</v>
      </c>
      <c r="F47" s="159" t="s">
        <v>207</v>
      </c>
      <c r="O47">
        <v>390.9596560026688</v>
      </c>
      <c r="R47">
        <v>388.68447240676824</v>
      </c>
      <c r="T47">
        <f t="shared" si="61"/>
        <v>7</v>
      </c>
      <c r="U47">
        <v>371.12804447814915</v>
      </c>
      <c r="V47">
        <f t="shared" si="38"/>
        <v>388.68447240676824</v>
      </c>
      <c r="W47">
        <f t="shared" si="39"/>
        <v>240.23205033218284</v>
      </c>
      <c r="X47" s="17">
        <f t="shared" si="40"/>
        <v>0.7417998644958104</v>
      </c>
      <c r="Y47" s="17">
        <f t="shared" si="41"/>
        <v>0.1697793180106385</v>
      </c>
      <c r="Z47">
        <f t="shared" si="42"/>
        <v>74.17998644958104</v>
      </c>
      <c r="AA47">
        <v>26.25774618931116</v>
      </c>
      <c r="AB47" s="16"/>
      <c r="AD47" s="17">
        <f t="shared" si="43"/>
        <v>0.2714170321351417</v>
      </c>
      <c r="AE47" s="17">
        <f t="shared" si="44"/>
        <v>0.1787731662369828</v>
      </c>
      <c r="AF47">
        <f t="shared" si="45"/>
        <v>27.14170321351417</v>
      </c>
      <c r="AJ47" s="17">
        <f t="shared" si="46"/>
        <v>0.038464133746705986</v>
      </c>
      <c r="AK47" s="17">
        <f t="shared" si="47"/>
        <v>0.0909716021050111</v>
      </c>
      <c r="AL47">
        <f t="shared" si="48"/>
        <v>3.8464133746705986</v>
      </c>
      <c r="AP47" s="17">
        <f t="shared" si="49"/>
        <v>0.007416521103309481</v>
      </c>
      <c r="AQ47" s="17">
        <f t="shared" si="50"/>
        <v>0.03118303582381654</v>
      </c>
      <c r="AR47">
        <f t="shared" si="51"/>
        <v>0.7416521103309481</v>
      </c>
      <c r="AV47" s="17">
        <f t="shared" si="52"/>
        <v>0.0021841284425270224</v>
      </c>
      <c r="AW47" s="17">
        <f t="shared" si="53"/>
        <v>0.012406808141280923</v>
      </c>
      <c r="AX47">
        <f t="shared" si="54"/>
        <v>0.21841284425270224</v>
      </c>
      <c r="BB47" s="17">
        <f t="shared" si="55"/>
        <v>0.003999850302993213</v>
      </c>
      <c r="BC47" s="17">
        <f t="shared" si="56"/>
        <v>0.021521331474805283</v>
      </c>
      <c r="BD47">
        <f t="shared" si="57"/>
        <v>0.3999850302993213</v>
      </c>
      <c r="BJ47" s="17">
        <f t="shared" si="58"/>
        <v>0.0038747265363522354</v>
      </c>
      <c r="BK47" s="17">
        <f t="shared" si="59"/>
        <v>0.02245078257535027</v>
      </c>
      <c r="BL47">
        <f t="shared" si="60"/>
        <v>0.38747265363522354</v>
      </c>
    </row>
    <row r="48" spans="2:64" ht="13.5" thickBot="1">
      <c r="B48" s="149" t="s">
        <v>158</v>
      </c>
      <c r="C48" s="162">
        <v>0.1</v>
      </c>
      <c r="D48" s="158" t="s">
        <v>159</v>
      </c>
      <c r="E48" s="164">
        <f>(Sheet1!B22)*C48/100</f>
        <v>0.7854602515204425</v>
      </c>
      <c r="F48" s="151" t="s">
        <v>154</v>
      </c>
      <c r="O48">
        <v>417.1338294310492</v>
      </c>
      <c r="R48">
        <v>412.8520749039406</v>
      </c>
      <c r="T48">
        <f t="shared" si="61"/>
        <v>8</v>
      </c>
      <c r="U48">
        <v>398.3424259707899</v>
      </c>
      <c r="V48">
        <f t="shared" si="38"/>
        <v>412.8520749039406</v>
      </c>
      <c r="W48">
        <f t="shared" si="39"/>
        <v>283.7337348270931</v>
      </c>
      <c r="X48" s="17">
        <f t="shared" si="40"/>
        <v>0.9115791825064489</v>
      </c>
      <c r="Y48" s="17">
        <f t="shared" si="41"/>
        <v>0.06391014611960077</v>
      </c>
      <c r="Z48">
        <f t="shared" si="42"/>
        <v>91.15791825064488</v>
      </c>
      <c r="AA48">
        <v>10.465069747158351</v>
      </c>
      <c r="AB48" s="16"/>
      <c r="AD48" s="17">
        <f t="shared" si="43"/>
        <v>0.4501901983721245</v>
      </c>
      <c r="AE48" s="17">
        <f t="shared" si="44"/>
        <v>0.16789529749459298</v>
      </c>
      <c r="AF48">
        <f t="shared" si="45"/>
        <v>45.01901983721245</v>
      </c>
      <c r="AJ48" s="17">
        <f t="shared" si="46"/>
        <v>0.12943573585171708</v>
      </c>
      <c r="AK48" s="17">
        <f t="shared" si="47"/>
        <v>0.15635657394692315</v>
      </c>
      <c r="AL48">
        <f t="shared" si="48"/>
        <v>12.943573585171709</v>
      </c>
      <c r="AP48" s="17">
        <f t="shared" si="49"/>
        <v>0.03859955692712602</v>
      </c>
      <c r="AQ48" s="17">
        <f t="shared" si="50"/>
        <v>0.08083283569081245</v>
      </c>
      <c r="AR48">
        <f t="shared" si="51"/>
        <v>3.859955692712602</v>
      </c>
      <c r="AV48" s="17">
        <f t="shared" si="52"/>
        <v>0.014590936583807945</v>
      </c>
      <c r="AW48" s="17">
        <f t="shared" si="53"/>
        <v>0.041137887850311805</v>
      </c>
      <c r="AX48">
        <f t="shared" si="54"/>
        <v>1.4590936583807945</v>
      </c>
      <c r="BB48" s="17">
        <f t="shared" si="55"/>
        <v>0.025521181777798496</v>
      </c>
      <c r="BC48" s="17">
        <f t="shared" si="56"/>
        <v>0.06560421645474712</v>
      </c>
      <c r="BD48">
        <f t="shared" si="57"/>
        <v>2.5521181777798496</v>
      </c>
      <c r="BJ48" s="17">
        <f t="shared" si="58"/>
        <v>0.026325509111702505</v>
      </c>
      <c r="BK48" s="17">
        <f t="shared" si="59"/>
        <v>0.07059246888819426</v>
      </c>
      <c r="BL48">
        <f t="shared" si="60"/>
        <v>2.6325509111702505</v>
      </c>
    </row>
    <row r="49" spans="2:64" ht="13.5" thickBot="1">
      <c r="B49" s="149" t="s">
        <v>161</v>
      </c>
      <c r="C49" s="162">
        <v>46.4</v>
      </c>
      <c r="D49" s="150" t="s">
        <v>160</v>
      </c>
      <c r="E49" s="164">
        <f>(C49+40)*9/5-40</f>
        <v>115.52000000000001</v>
      </c>
      <c r="F49" s="151" t="s">
        <v>16</v>
      </c>
      <c r="O49">
        <v>441.4216016562145</v>
      </c>
      <c r="R49">
        <v>434.133942250287</v>
      </c>
      <c r="T49">
        <f t="shared" si="61"/>
        <v>9</v>
      </c>
      <c r="U49">
        <v>423.4521585008477</v>
      </c>
      <c r="V49">
        <f t="shared" si="38"/>
        <v>434.133942250287</v>
      </c>
      <c r="W49">
        <f t="shared" si="39"/>
        <v>322.0410960505166</v>
      </c>
      <c r="X49" s="17">
        <f t="shared" si="40"/>
        <v>0.9754893286260496</v>
      </c>
      <c r="Y49" s="17">
        <f t="shared" si="41"/>
        <v>0.018978225172189056</v>
      </c>
      <c r="Z49">
        <f t="shared" si="42"/>
        <v>97.54893286260497</v>
      </c>
      <c r="AA49">
        <v>2.535065224823174</v>
      </c>
      <c r="AB49" s="16"/>
      <c r="AD49" s="17">
        <f t="shared" si="43"/>
        <v>0.6180854958667175</v>
      </c>
      <c r="AE49" s="17">
        <f t="shared" si="44"/>
        <v>0.13828224935179545</v>
      </c>
      <c r="AF49">
        <f t="shared" si="45"/>
        <v>61.808549586671745</v>
      </c>
      <c r="AJ49" s="17">
        <f t="shared" si="46"/>
        <v>0.28579230979864023</v>
      </c>
      <c r="AK49" s="17">
        <f t="shared" si="47"/>
        <v>0.19667118450789178</v>
      </c>
      <c r="AL49">
        <f t="shared" si="48"/>
        <v>28.579230979864022</v>
      </c>
      <c r="AP49" s="17">
        <f t="shared" si="49"/>
        <v>0.11943239261793848</v>
      </c>
      <c r="AQ49" s="17">
        <f t="shared" si="50"/>
        <v>0.14426066988939434</v>
      </c>
      <c r="AR49">
        <f t="shared" si="51"/>
        <v>11.943239261793847</v>
      </c>
      <c r="AV49" s="17">
        <f t="shared" si="52"/>
        <v>0.05572882443411975</v>
      </c>
      <c r="AW49" s="17">
        <f t="shared" si="53"/>
        <v>0.09208701129388597</v>
      </c>
      <c r="AX49">
        <f t="shared" si="54"/>
        <v>5.5728824434119755</v>
      </c>
      <c r="BB49" s="17">
        <f t="shared" si="55"/>
        <v>0.09112539823254562</v>
      </c>
      <c r="BC49" s="17">
        <f t="shared" si="56"/>
        <v>0.13185399194180947</v>
      </c>
      <c r="BD49">
        <f t="shared" si="57"/>
        <v>9.112539823254561</v>
      </c>
      <c r="BJ49" s="17">
        <f t="shared" si="58"/>
        <v>0.09691797799989676</v>
      </c>
      <c r="BK49" s="17">
        <f t="shared" si="59"/>
        <v>0.1425542541440563</v>
      </c>
      <c r="BL49">
        <f t="shared" si="60"/>
        <v>9.691797799989676</v>
      </c>
    </row>
    <row r="50" spans="2:64" ht="13.5" thickBot="1">
      <c r="B50" s="149" t="s">
        <v>161</v>
      </c>
      <c r="C50" s="162">
        <v>32</v>
      </c>
      <c r="D50" s="150" t="s">
        <v>162</v>
      </c>
      <c r="E50" s="164">
        <f>(C50+40)*5/9-40</f>
        <v>0</v>
      </c>
      <c r="F50" s="151" t="s">
        <v>163</v>
      </c>
      <c r="O50">
        <v>464.1374308964072</v>
      </c>
      <c r="R50">
        <v>453.8444098199781</v>
      </c>
      <c r="T50">
        <f t="shared" si="61"/>
        <v>10</v>
      </c>
      <c r="U50">
        <v>446.7561327153661</v>
      </c>
      <c r="V50">
        <f t="shared" si="38"/>
        <v>453.8444098199781</v>
      </c>
      <c r="W50">
        <f t="shared" si="39"/>
        <v>357.51993767596065</v>
      </c>
      <c r="X50" s="17">
        <f t="shared" si="40"/>
        <v>0.9944675537982387</v>
      </c>
      <c r="Y50" s="17">
        <f t="shared" si="41"/>
        <v>0.004476906437334338</v>
      </c>
      <c r="Z50">
        <f t="shared" si="42"/>
        <v>99.44675537982387</v>
      </c>
      <c r="AA50">
        <v>0.4152991331606737</v>
      </c>
      <c r="AB50" s="16"/>
      <c r="AD50" s="17">
        <f t="shared" si="43"/>
        <v>0.7563677452185129</v>
      </c>
      <c r="AE50" s="17">
        <f t="shared" si="44"/>
        <v>0.09956000672865839</v>
      </c>
      <c r="AF50">
        <f t="shared" si="45"/>
        <v>75.6367745218513</v>
      </c>
      <c r="AJ50" s="17">
        <f t="shared" si="46"/>
        <v>0.482463494306532</v>
      </c>
      <c r="AK50" s="17">
        <f t="shared" si="47"/>
        <v>0.18846261271736697</v>
      </c>
      <c r="AL50">
        <f t="shared" si="48"/>
        <v>48.246349430653204</v>
      </c>
      <c r="AP50" s="17">
        <f t="shared" si="49"/>
        <v>0.2636930625073328</v>
      </c>
      <c r="AQ50" s="17">
        <f t="shared" si="50"/>
        <v>0.18731836260885526</v>
      </c>
      <c r="AR50">
        <f t="shared" si="51"/>
        <v>26.36930625073328</v>
      </c>
      <c r="AV50" s="17">
        <f t="shared" si="52"/>
        <v>0.14781583572800572</v>
      </c>
      <c r="AW50" s="17">
        <f t="shared" si="53"/>
        <v>0.1478343723428548</v>
      </c>
      <c r="AX50">
        <f t="shared" si="54"/>
        <v>14.781583572800571</v>
      </c>
      <c r="BB50" s="17">
        <f t="shared" si="55"/>
        <v>0.22297939017435509</v>
      </c>
      <c r="BC50" s="17">
        <f t="shared" si="56"/>
        <v>0.1863909772982213</v>
      </c>
      <c r="BD50">
        <f t="shared" si="57"/>
        <v>22.29793901743551</v>
      </c>
      <c r="BJ50" s="17">
        <f t="shared" si="58"/>
        <v>0.23947223214395308</v>
      </c>
      <c r="BK50" s="17">
        <f t="shared" si="59"/>
        <v>0.19826899862353398</v>
      </c>
      <c r="BL50">
        <f t="shared" si="60"/>
        <v>23.947223214395308</v>
      </c>
    </row>
    <row r="51" spans="2:64" ht="13.5" thickBot="1">
      <c r="B51" s="160"/>
      <c r="C51" s="161"/>
      <c r="D51" s="161"/>
      <c r="E51" s="161"/>
      <c r="F51" s="156"/>
      <c r="O51">
        <v>485.51909262802315</v>
      </c>
      <c r="R51">
        <v>472.2211619069268</v>
      </c>
      <c r="T51">
        <f t="shared" si="61"/>
        <v>11</v>
      </c>
      <c r="U51">
        <v>468.5046098089457</v>
      </c>
      <c r="V51">
        <f t="shared" si="38"/>
        <v>472.2211619069268</v>
      </c>
      <c r="W51">
        <f t="shared" si="39"/>
        <v>390.5980914324682</v>
      </c>
      <c r="X51" s="17">
        <f t="shared" si="40"/>
        <v>0.998944460235573</v>
      </c>
      <c r="Y51" s="17">
        <f t="shared" si="41"/>
        <v>0.0008594072146632659</v>
      </c>
      <c r="Z51">
        <f t="shared" si="42"/>
        <v>99.89444602355731</v>
      </c>
      <c r="AA51">
        <v>0.049927921286507804</v>
      </c>
      <c r="AB51" s="16"/>
      <c r="AD51" s="17">
        <f t="shared" si="43"/>
        <v>0.8559277519471713</v>
      </c>
      <c r="AE51" s="17">
        <f t="shared" si="44"/>
        <v>0.06131388057153164</v>
      </c>
      <c r="AF51">
        <f t="shared" si="45"/>
        <v>85.59277519471713</v>
      </c>
      <c r="AJ51" s="17">
        <f t="shared" si="46"/>
        <v>0.670926107023899</v>
      </c>
      <c r="AK51" s="17">
        <f t="shared" si="47"/>
        <v>0.13747740096328487</v>
      </c>
      <c r="AL51">
        <f t="shared" si="48"/>
        <v>67.0926107023899</v>
      </c>
      <c r="AP51" s="17">
        <f t="shared" si="49"/>
        <v>0.4510114251161881</v>
      </c>
      <c r="AQ51" s="17">
        <f t="shared" si="50"/>
        <v>0.17688055085610777</v>
      </c>
      <c r="AR51">
        <f t="shared" si="51"/>
        <v>45.10114251161881</v>
      </c>
      <c r="AV51" s="17">
        <f t="shared" si="52"/>
        <v>0.2956502080708605</v>
      </c>
      <c r="AW51" s="17">
        <f t="shared" si="53"/>
        <v>0.16945869316495155</v>
      </c>
      <c r="AX51">
        <f t="shared" si="54"/>
        <v>29.56502080708605</v>
      </c>
      <c r="BB51" s="17">
        <f t="shared" si="55"/>
        <v>0.4093703674725764</v>
      </c>
      <c r="BC51" s="17">
        <f t="shared" si="56"/>
        <v>0.18604845691812888</v>
      </c>
      <c r="BD51">
        <f t="shared" si="57"/>
        <v>40.937036747257636</v>
      </c>
      <c r="BJ51" s="17">
        <f t="shared" si="58"/>
        <v>0.43774123076748706</v>
      </c>
      <c r="BK51" s="17">
        <f t="shared" si="59"/>
        <v>0.19160851609088303</v>
      </c>
      <c r="BL51">
        <f t="shared" si="60"/>
        <v>43.77412307674871</v>
      </c>
    </row>
    <row r="52" spans="15:64" ht="12.75">
      <c r="O52">
        <v>505.75129568867897</v>
      </c>
      <c r="R52">
        <v>488.44883771208083</v>
      </c>
      <c r="T52">
        <f t="shared" si="61"/>
        <v>12</v>
      </c>
      <c r="U52">
        <v>488.87658794399596</v>
      </c>
      <c r="V52">
        <f t="shared" si="38"/>
        <v>488.44883771208083</v>
      </c>
      <c r="W52">
        <f t="shared" si="39"/>
        <v>419.80790788174545</v>
      </c>
      <c r="X52" s="17">
        <f t="shared" si="40"/>
        <v>0.9998038674502363</v>
      </c>
      <c r="Y52" s="17">
        <f t="shared" si="41"/>
        <v>0.00016270422705200183</v>
      </c>
      <c r="Z52">
        <f t="shared" si="42"/>
        <v>99.98038674502364</v>
      </c>
      <c r="AA52">
        <v>0.004697727138214258</v>
      </c>
      <c r="AB52" s="16"/>
      <c r="AD52" s="17">
        <f t="shared" si="43"/>
        <v>0.9172416325187029</v>
      </c>
      <c r="AE52" s="17">
        <f t="shared" si="44"/>
        <v>0.037364777744971156</v>
      </c>
      <c r="AF52">
        <f t="shared" si="45"/>
        <v>91.7241632518703</v>
      </c>
      <c r="AJ52" s="17">
        <f t="shared" si="46"/>
        <v>0.8084035079871839</v>
      </c>
      <c r="AK52" s="17">
        <f t="shared" si="47"/>
        <v>0.09045055471377428</v>
      </c>
      <c r="AL52">
        <f t="shared" si="48"/>
        <v>80.84035079871839</v>
      </c>
      <c r="AP52" s="17">
        <f t="shared" si="49"/>
        <v>0.6278919759722958</v>
      </c>
      <c r="AQ52" s="17">
        <f t="shared" si="50"/>
        <v>0.14484721749019747</v>
      </c>
      <c r="AR52">
        <f t="shared" si="51"/>
        <v>62.78919759722959</v>
      </c>
      <c r="AV52" s="17">
        <f t="shared" si="52"/>
        <v>0.46510890123581206</v>
      </c>
      <c r="AW52" s="17">
        <f t="shared" si="53"/>
        <v>0.16572077009844777</v>
      </c>
      <c r="AX52">
        <f t="shared" si="54"/>
        <v>46.510890123581206</v>
      </c>
      <c r="BB52" s="17">
        <f t="shared" si="55"/>
        <v>0.5954188243907053</v>
      </c>
      <c r="BC52" s="17">
        <f t="shared" si="56"/>
        <v>0.15731077838874463</v>
      </c>
      <c r="BD52">
        <f t="shared" si="57"/>
        <v>59.54188243907053</v>
      </c>
      <c r="BJ52" s="17">
        <f t="shared" si="58"/>
        <v>0.6293497468583701</v>
      </c>
      <c r="BK52" s="17">
        <f t="shared" si="59"/>
        <v>0.15497700387728985</v>
      </c>
      <c r="BL52">
        <f t="shared" si="60"/>
        <v>62.934974685837005</v>
      </c>
    </row>
    <row r="53" spans="2:64" ht="12.75">
      <c r="B53" s="150" t="s">
        <v>359</v>
      </c>
      <c r="C53" s="263">
        <v>273.15</v>
      </c>
      <c r="D53" s="150" t="s">
        <v>75</v>
      </c>
      <c r="E53" s="264">
        <f>C53*9/5-459.67</f>
        <v>31.999999999999943</v>
      </c>
      <c r="F53" s="150" t="s">
        <v>74</v>
      </c>
      <c r="O53">
        <v>524.9807472575812</v>
      </c>
      <c r="R53">
        <v>503.6740899705512</v>
      </c>
      <c r="T53">
        <f t="shared" si="61"/>
        <v>13</v>
      </c>
      <c r="U53">
        <v>508.0168631560571</v>
      </c>
      <c r="V53">
        <f t="shared" si="38"/>
        <v>503.6740899705512</v>
      </c>
      <c r="W53">
        <f t="shared" si="39"/>
        <v>447.21336194699217</v>
      </c>
      <c r="X53" s="17">
        <f t="shared" si="40"/>
        <v>0.9999665716772883</v>
      </c>
      <c r="Y53" s="17">
        <f t="shared" si="41"/>
        <v>2.877158737157881E-05</v>
      </c>
      <c r="Z53">
        <f t="shared" si="42"/>
        <v>99.99665716772883</v>
      </c>
      <c r="AA53">
        <v>0.0003647725309252614</v>
      </c>
      <c r="AB53" s="16"/>
      <c r="AD53" s="17">
        <f t="shared" si="43"/>
        <v>0.9546064102636741</v>
      </c>
      <c r="AE53" s="17">
        <f t="shared" si="44"/>
        <v>0.0225401813951549</v>
      </c>
      <c r="AF53">
        <f t="shared" si="45"/>
        <v>95.46064102636741</v>
      </c>
      <c r="AJ53" s="17">
        <f t="shared" si="46"/>
        <v>0.8988540627009581</v>
      </c>
      <c r="AK53" s="17">
        <f t="shared" si="47"/>
        <v>0.05477886642538454</v>
      </c>
      <c r="AL53">
        <f t="shared" si="48"/>
        <v>89.88540627009581</v>
      </c>
      <c r="AP53" s="17">
        <f t="shared" si="49"/>
        <v>0.7727391934624933</v>
      </c>
      <c r="AQ53" s="17">
        <f t="shared" si="50"/>
        <v>0.10681057078420697</v>
      </c>
      <c r="AR53">
        <f t="shared" si="51"/>
        <v>77.27391934624933</v>
      </c>
      <c r="AV53" s="17">
        <f t="shared" si="52"/>
        <v>0.6308296713342598</v>
      </c>
      <c r="AW53" s="17">
        <f t="shared" si="53"/>
        <v>0.14521216803560555</v>
      </c>
      <c r="AX53">
        <f t="shared" si="54"/>
        <v>63.08296713342598</v>
      </c>
      <c r="BB53" s="17">
        <f t="shared" si="55"/>
        <v>0.7527296027794499</v>
      </c>
      <c r="BC53" s="17">
        <f t="shared" si="56"/>
        <v>0.11762585997313457</v>
      </c>
      <c r="BD53">
        <f t="shared" si="57"/>
        <v>75.27296027794499</v>
      </c>
      <c r="BJ53" s="17">
        <f t="shared" si="58"/>
        <v>0.7843267507356599</v>
      </c>
      <c r="BK53" s="17">
        <f t="shared" si="59"/>
        <v>0.10949904907197916</v>
      </c>
      <c r="BL53">
        <f t="shared" si="60"/>
        <v>78.43267507356599</v>
      </c>
    </row>
    <row r="54" spans="3:64" ht="12.75">
      <c r="C54" s="263">
        <v>32</v>
      </c>
      <c r="D54" s="150" t="s">
        <v>74</v>
      </c>
      <c r="E54" s="264">
        <f>(C54+459.67)*5/9</f>
        <v>273.15</v>
      </c>
      <c r="F54" s="150" t="s">
        <v>75</v>
      </c>
      <c r="O54">
        <v>543.326158777338</v>
      </c>
      <c r="R54">
        <v>519.0155867138437</v>
      </c>
      <c r="T54">
        <f t="shared" si="61"/>
        <v>14</v>
      </c>
      <c r="U54">
        <v>526.0839779399373</v>
      </c>
      <c r="V54">
        <f t="shared" si="38"/>
        <v>519.0155867138437</v>
      </c>
      <c r="W54">
        <f t="shared" si="39"/>
        <v>474.82805608491867</v>
      </c>
      <c r="X54" s="17">
        <f t="shared" si="40"/>
        <v>0.9999953432646599</v>
      </c>
      <c r="Y54" s="17">
        <f t="shared" si="41"/>
        <v>4.137061107023499E-06</v>
      </c>
      <c r="Z54">
        <f t="shared" si="42"/>
        <v>99.99953432646599</v>
      </c>
      <c r="AA54">
        <v>2.4333166881440604E-05</v>
      </c>
      <c r="AB54" s="16"/>
      <c r="AD54" s="17">
        <f t="shared" si="43"/>
        <v>0.977146591658829</v>
      </c>
      <c r="AE54" s="17">
        <f t="shared" si="44"/>
        <v>0.012387065190822777</v>
      </c>
      <c r="AF54">
        <f t="shared" si="45"/>
        <v>97.7146591658829</v>
      </c>
      <c r="AJ54" s="17">
        <f t="shared" si="46"/>
        <v>0.9536329291263427</v>
      </c>
      <c r="AK54" s="17">
        <f t="shared" si="47"/>
        <v>0.028188347514622625</v>
      </c>
      <c r="AL54">
        <f t="shared" si="48"/>
        <v>95.36329291263426</v>
      </c>
      <c r="AP54" s="17">
        <f t="shared" si="49"/>
        <v>0.8795497642467003</v>
      </c>
      <c r="AQ54" s="17">
        <f t="shared" si="50"/>
        <v>0.06603823158015487</v>
      </c>
      <c r="AR54">
        <f t="shared" si="51"/>
        <v>87.95497642467002</v>
      </c>
      <c r="AV54" s="17">
        <f t="shared" si="52"/>
        <v>0.7760418393698654</v>
      </c>
      <c r="AW54" s="17">
        <f t="shared" si="53"/>
        <v>0.10686712631924422</v>
      </c>
      <c r="AX54">
        <f t="shared" si="54"/>
        <v>77.60418393698654</v>
      </c>
      <c r="BB54" s="17">
        <f t="shared" si="55"/>
        <v>0.8703554627525845</v>
      </c>
      <c r="BC54" s="17">
        <f t="shared" si="56"/>
        <v>0.07250440127531477</v>
      </c>
      <c r="BD54">
        <f t="shared" si="57"/>
        <v>87.03554627525844</v>
      </c>
      <c r="BJ54" s="17">
        <f t="shared" si="58"/>
        <v>0.8938257998076391</v>
      </c>
      <c r="BK54" s="17">
        <f t="shared" si="59"/>
        <v>0.06289087024072504</v>
      </c>
      <c r="BL54">
        <f t="shared" si="60"/>
        <v>89.38257998076391</v>
      </c>
    </row>
    <row r="55" spans="15:64" ht="12.75">
      <c r="O55">
        <v>560.88511899193</v>
      </c>
      <c r="R55">
        <v>534.5708814884727</v>
      </c>
      <c r="T55">
        <f t="shared" si="61"/>
        <v>15</v>
      </c>
      <c r="U55">
        <v>543.1694674882216</v>
      </c>
      <c r="V55">
        <f t="shared" si="38"/>
        <v>534.5708814884727</v>
      </c>
      <c r="W55">
        <f t="shared" si="39"/>
        <v>502.82758667925077</v>
      </c>
      <c r="X55" s="17">
        <f t="shared" si="40"/>
        <v>0.9999994803257669</v>
      </c>
      <c r="Y55" s="17">
        <f t="shared" si="41"/>
        <v>4.7423962501458305E-07</v>
      </c>
      <c r="Z55">
        <f t="shared" si="42"/>
        <v>99.9999480325767</v>
      </c>
      <c r="AA55">
        <v>1.4397354197726031E-06</v>
      </c>
      <c r="AB55" s="16"/>
      <c r="AD55" s="17">
        <f t="shared" si="43"/>
        <v>0.9895336568496518</v>
      </c>
      <c r="AE55" s="17">
        <f t="shared" si="44"/>
        <v>0.006149141551948567</v>
      </c>
      <c r="AF55">
        <f t="shared" si="45"/>
        <v>98.95336568496518</v>
      </c>
      <c r="AJ55" s="17">
        <f t="shared" si="46"/>
        <v>0.9818212766409653</v>
      </c>
      <c r="AK55" s="17">
        <f t="shared" si="47"/>
        <v>0.012184322248613655</v>
      </c>
      <c r="AL55">
        <f t="shared" si="48"/>
        <v>98.18212766409653</v>
      </c>
      <c r="AP55" s="17">
        <f t="shared" si="49"/>
        <v>0.9455879958268552</v>
      </c>
      <c r="AQ55" s="17">
        <f t="shared" si="50"/>
        <v>0.03385787854147926</v>
      </c>
      <c r="AR55">
        <f t="shared" si="51"/>
        <v>94.55879958268551</v>
      </c>
      <c r="AV55" s="17">
        <f t="shared" si="52"/>
        <v>0.8829089656891096</v>
      </c>
      <c r="AW55" s="17">
        <f t="shared" si="53"/>
        <v>0.06539101589737961</v>
      </c>
      <c r="AX55">
        <f t="shared" si="54"/>
        <v>88.29089656891097</v>
      </c>
      <c r="BB55" s="17">
        <f t="shared" si="55"/>
        <v>0.9428598640278992</v>
      </c>
      <c r="BC55" s="17">
        <f t="shared" si="56"/>
        <v>0.0364138061283924</v>
      </c>
      <c r="BD55">
        <f t="shared" si="57"/>
        <v>94.28598640278992</v>
      </c>
      <c r="BJ55" s="17">
        <f t="shared" si="58"/>
        <v>0.9567166700483641</v>
      </c>
      <c r="BK55" s="17">
        <f t="shared" si="59"/>
        <v>0.028996030984955734</v>
      </c>
      <c r="BL55">
        <f t="shared" si="60"/>
        <v>95.67166700483641</v>
      </c>
    </row>
    <row r="56" spans="15:64" ht="12.75">
      <c r="O56">
        <v>577.738951319272</v>
      </c>
      <c r="R56">
        <v>550.4212687606845</v>
      </c>
      <c r="T56">
        <f t="shared" si="61"/>
        <v>16</v>
      </c>
      <c r="U56">
        <v>559.3302926837473</v>
      </c>
      <c r="V56">
        <f t="shared" si="38"/>
        <v>550.4212687606845</v>
      </c>
      <c r="W56">
        <f t="shared" si="39"/>
        <v>531.3582837692321</v>
      </c>
      <c r="X56" s="17">
        <f t="shared" si="40"/>
        <v>0.9999999545653919</v>
      </c>
      <c r="Y56" s="17">
        <f t="shared" si="41"/>
        <v>4.239735351685425E-08</v>
      </c>
      <c r="Z56">
        <f t="shared" si="42"/>
        <v>99.9999954565392</v>
      </c>
      <c r="AA56">
        <v>7.834336512857476E-08</v>
      </c>
      <c r="AB56" s="16"/>
      <c r="AD56" s="17">
        <f t="shared" si="43"/>
        <v>0.9956827984016003</v>
      </c>
      <c r="AE56" s="17">
        <f t="shared" si="44"/>
        <v>0.002730749578385483</v>
      </c>
      <c r="AF56">
        <f t="shared" si="45"/>
        <v>99.56827984016003</v>
      </c>
      <c r="AJ56" s="17">
        <f t="shared" si="46"/>
        <v>0.994005598889579</v>
      </c>
      <c r="AK56" s="17">
        <f t="shared" si="47"/>
        <v>0.0043620932704275805</v>
      </c>
      <c r="AL56">
        <f t="shared" si="48"/>
        <v>99.4005598889579</v>
      </c>
      <c r="AP56" s="17">
        <f t="shared" si="49"/>
        <v>0.9794458743683344</v>
      </c>
      <c r="AQ56" s="17">
        <f t="shared" si="50"/>
        <v>0.014192773763763378</v>
      </c>
      <c r="AR56">
        <f t="shared" si="51"/>
        <v>97.94458743683344</v>
      </c>
      <c r="AV56" s="17">
        <f t="shared" si="52"/>
        <v>0.9482999815864892</v>
      </c>
      <c r="AW56" s="17">
        <f t="shared" si="53"/>
        <v>0.03282664980530958</v>
      </c>
      <c r="AX56">
        <f t="shared" si="54"/>
        <v>94.82999815864892</v>
      </c>
      <c r="BB56" s="17">
        <f t="shared" si="55"/>
        <v>0.9792736701562916</v>
      </c>
      <c r="BC56" s="17">
        <f t="shared" si="56"/>
        <v>0.01467689587925236</v>
      </c>
      <c r="BD56">
        <f t="shared" si="57"/>
        <v>97.92736701562916</v>
      </c>
      <c r="BJ56" s="17">
        <f t="shared" si="58"/>
        <v>0.9857127010333199</v>
      </c>
      <c r="BK56" s="17">
        <f t="shared" si="59"/>
        <v>0.010558870457839542</v>
      </c>
      <c r="BL56">
        <f t="shared" si="60"/>
        <v>98.57127010333198</v>
      </c>
    </row>
    <row r="57" spans="15:64" ht="12.75">
      <c r="O57">
        <v>593.9562315369054</v>
      </c>
      <c r="R57">
        <v>566.6353001936513</v>
      </c>
      <c r="T57">
        <f t="shared" si="61"/>
        <v>17</v>
      </c>
      <c r="U57">
        <v>575.5776905905389</v>
      </c>
      <c r="V57">
        <f t="shared" si="38"/>
        <v>566.6353001936513</v>
      </c>
      <c r="W57">
        <f t="shared" si="39"/>
        <v>560.5435403485724</v>
      </c>
      <c r="X57" s="17">
        <f t="shared" si="40"/>
        <v>0.9999999969627454</v>
      </c>
      <c r="Y57" s="17">
        <f t="shared" si="41"/>
        <v>2.8549883568373957E-09</v>
      </c>
      <c r="Z57">
        <f t="shared" si="42"/>
        <v>99.99999969627454</v>
      </c>
      <c r="AA57">
        <v>3.637046219751028E-09</v>
      </c>
      <c r="AB57" s="16"/>
      <c r="AD57" s="17">
        <f t="shared" si="43"/>
        <v>0.9984135479799858</v>
      </c>
      <c r="AE57" s="17">
        <f t="shared" si="44"/>
        <v>0.0010355932785750532</v>
      </c>
      <c r="AF57">
        <f t="shared" si="45"/>
        <v>99.84135479799858</v>
      </c>
      <c r="AJ57" s="17">
        <f t="shared" si="46"/>
        <v>0.9983676921600065</v>
      </c>
      <c r="AK57" s="17">
        <f t="shared" si="47"/>
        <v>0.00123623950958629</v>
      </c>
      <c r="AL57">
        <f t="shared" si="48"/>
        <v>99.83676921600065</v>
      </c>
      <c r="AP57" s="17">
        <f t="shared" si="49"/>
        <v>0.9936386481320978</v>
      </c>
      <c r="AQ57" s="17">
        <f t="shared" si="50"/>
        <v>0.004635892076036319</v>
      </c>
      <c r="AR57">
        <f t="shared" si="51"/>
        <v>99.36386481320977</v>
      </c>
      <c r="AV57" s="17">
        <f t="shared" si="52"/>
        <v>0.9811266313917988</v>
      </c>
      <c r="AW57" s="17">
        <f t="shared" si="53"/>
        <v>0.012846910060738681</v>
      </c>
      <c r="AX57">
        <f t="shared" si="54"/>
        <v>98.11266313917987</v>
      </c>
      <c r="BB57" s="17">
        <f t="shared" si="55"/>
        <v>0.993950566035544</v>
      </c>
      <c r="BC57" s="17">
        <f t="shared" si="56"/>
        <v>0.004524902943593423</v>
      </c>
      <c r="BD57">
        <f t="shared" si="57"/>
        <v>99.3950566035544</v>
      </c>
      <c r="BJ57" s="17">
        <f t="shared" si="58"/>
        <v>0.9962715714911594</v>
      </c>
      <c r="BK57" s="17">
        <f t="shared" si="59"/>
        <v>0.002897383288046229</v>
      </c>
      <c r="BL57">
        <f t="shared" si="60"/>
        <v>99.62715714911594</v>
      </c>
    </row>
    <row r="58" spans="15:64" ht="12.75">
      <c r="O58">
        <v>609.5953898013557</v>
      </c>
      <c r="R58">
        <v>582.2713856364284</v>
      </c>
      <c r="T58">
        <f t="shared" si="61"/>
        <v>18</v>
      </c>
      <c r="U58">
        <v>589.5155193888173</v>
      </c>
      <c r="V58">
        <f t="shared" si="38"/>
        <v>582.2713856364284</v>
      </c>
      <c r="W58">
        <f t="shared" si="39"/>
        <v>588.6884941455711</v>
      </c>
      <c r="X58" s="17">
        <f t="shared" si="40"/>
        <v>0.9999999998177338</v>
      </c>
      <c r="Y58" s="17">
        <f t="shared" si="41"/>
        <v>1.7233225957369314E-10</v>
      </c>
      <c r="Z58">
        <f t="shared" si="42"/>
        <v>99.99999998177339</v>
      </c>
      <c r="AA58">
        <v>1.683875261448975E-10</v>
      </c>
      <c r="AB58" s="16"/>
      <c r="AD58" s="17">
        <f t="shared" si="43"/>
        <v>0.9994491412585609</v>
      </c>
      <c r="AE58" s="17">
        <f t="shared" si="44"/>
        <v>0.0003691495232303055</v>
      </c>
      <c r="AF58">
        <f t="shared" si="45"/>
        <v>99.94491412585609</v>
      </c>
      <c r="AJ58" s="17">
        <f t="shared" si="46"/>
        <v>0.9996039316695928</v>
      </c>
      <c r="AK58" s="17">
        <f t="shared" si="47"/>
        <v>0.0003095412170970313</v>
      </c>
      <c r="AL58">
        <f t="shared" si="48"/>
        <v>99.96039316695928</v>
      </c>
      <c r="AP58" s="17">
        <f t="shared" si="49"/>
        <v>0.9982745402081341</v>
      </c>
      <c r="AQ58" s="17">
        <f t="shared" si="50"/>
        <v>0.001310751733876292</v>
      </c>
      <c r="AR58">
        <f t="shared" si="51"/>
        <v>99.8274540208134</v>
      </c>
      <c r="AV58" s="17">
        <f t="shared" si="52"/>
        <v>0.9939735414525375</v>
      </c>
      <c r="AW58" s="17">
        <f t="shared" si="53"/>
        <v>0.004325996949339883</v>
      </c>
      <c r="AX58">
        <f t="shared" si="54"/>
        <v>99.39735414525374</v>
      </c>
      <c r="BB58" s="17">
        <f t="shared" si="55"/>
        <v>0.9984754689791374</v>
      </c>
      <c r="BC58" s="17">
        <f t="shared" si="56"/>
        <v>0.00118874229935928</v>
      </c>
      <c r="BD58">
        <f t="shared" si="57"/>
        <v>99.84754689791374</v>
      </c>
      <c r="BJ58" s="17">
        <f t="shared" si="58"/>
        <v>0.9991689547792056</v>
      </c>
      <c r="BK58" s="17">
        <f t="shared" si="59"/>
        <v>0.0006707076710709137</v>
      </c>
      <c r="BL58">
        <f t="shared" si="60"/>
        <v>99.91689547792056</v>
      </c>
    </row>
    <row r="59" spans="15:64" ht="12.75">
      <c r="O59">
        <v>624.7066713909581</v>
      </c>
      <c r="R59">
        <v>597.3797530984235</v>
      </c>
      <c r="T59">
        <f t="shared" si="61"/>
        <v>19</v>
      </c>
      <c r="U59">
        <v>590.3166666666666</v>
      </c>
      <c r="V59">
        <f t="shared" si="38"/>
        <v>597.3797530984235</v>
      </c>
      <c r="W59">
        <f t="shared" si="39"/>
        <v>615.8835555771623</v>
      </c>
      <c r="X59" s="17">
        <f t="shared" si="40"/>
        <v>0.9999999999900661</v>
      </c>
      <c r="Y59" s="17">
        <f t="shared" si="41"/>
        <v>9.437228776221218E-12</v>
      </c>
      <c r="Z59">
        <f t="shared" si="42"/>
        <v>99.9999999990066</v>
      </c>
      <c r="AA59">
        <v>9.836575998178887E-12</v>
      </c>
      <c r="AB59" s="16"/>
      <c r="AD59" s="17">
        <f t="shared" si="43"/>
        <v>0.9998182907817912</v>
      </c>
      <c r="AE59" s="17">
        <f t="shared" si="44"/>
        <v>0.00012449512809420415</v>
      </c>
      <c r="AF59">
        <f t="shared" si="45"/>
        <v>99.98182907817912</v>
      </c>
      <c r="AJ59" s="17">
        <f t="shared" si="46"/>
        <v>0.9999134728866899</v>
      </c>
      <c r="AK59" s="17">
        <f t="shared" si="47"/>
        <v>6.934801994973316E-05</v>
      </c>
      <c r="AL59">
        <f t="shared" si="48"/>
        <v>99.99134728866899</v>
      </c>
      <c r="AP59" s="17">
        <f t="shared" si="49"/>
        <v>0.9995852919420104</v>
      </c>
      <c r="AQ59" s="17">
        <f t="shared" si="50"/>
        <v>0.0003254850189092773</v>
      </c>
      <c r="AR59">
        <f t="shared" si="51"/>
        <v>99.95852919420103</v>
      </c>
      <c r="AV59" s="17">
        <f t="shared" si="52"/>
        <v>0.9982995384018774</v>
      </c>
      <c r="AW59" s="17">
        <f t="shared" si="53"/>
        <v>0.0012723037293690398</v>
      </c>
      <c r="AX59">
        <f t="shared" si="54"/>
        <v>99.82995384018774</v>
      </c>
      <c r="BB59" s="17">
        <f t="shared" si="55"/>
        <v>0.9996642112784967</v>
      </c>
      <c r="BC59" s="17">
        <f t="shared" si="56"/>
        <v>0.0002704150174185349</v>
      </c>
      <c r="BD59">
        <f t="shared" si="57"/>
        <v>99.96642112784967</v>
      </c>
      <c r="BJ59" s="17">
        <f t="shared" si="58"/>
        <v>0.9998396624502766</v>
      </c>
      <c r="BK59" s="17">
        <f t="shared" si="59"/>
        <v>0.00013322984094832346</v>
      </c>
      <c r="BL59">
        <f t="shared" si="60"/>
        <v>99.98396624502766</v>
      </c>
    </row>
    <row r="60" spans="15:63" ht="12.75">
      <c r="O60">
        <v>639.3336386278919</v>
      </c>
      <c r="R60">
        <v>612.0039500887154</v>
      </c>
      <c r="T60">
        <v>20</v>
      </c>
      <c r="V60">
        <f t="shared" si="38"/>
        <v>612.0039500887154</v>
      </c>
      <c r="W60">
        <f t="shared" si="39"/>
        <v>642.2071101596878</v>
      </c>
      <c r="X60" s="17">
        <f t="shared" si="40"/>
        <v>0.9999999999995033</v>
      </c>
      <c r="Y60" s="17"/>
      <c r="AB60" s="16"/>
      <c r="AD60" s="17">
        <f t="shared" si="43"/>
        <v>0.9999427859098854</v>
      </c>
      <c r="AE60" s="17"/>
      <c r="AJ60" s="17">
        <f t="shared" si="46"/>
        <v>0.9999828209066396</v>
      </c>
      <c r="AK60" s="17"/>
      <c r="AP60" s="17">
        <f t="shared" si="49"/>
        <v>0.9999107769609197</v>
      </c>
      <c r="AQ60" s="17"/>
      <c r="AV60" s="17">
        <f t="shared" si="52"/>
        <v>0.9995718421312464</v>
      </c>
      <c r="AW60" s="17"/>
      <c r="BB60" s="17">
        <f t="shared" si="55"/>
        <v>0.9999346262959152</v>
      </c>
      <c r="BC60" s="17"/>
      <c r="BJ60" s="17">
        <f t="shared" si="58"/>
        <v>0.9999728922912249</v>
      </c>
      <c r="BK60" s="17"/>
    </row>
    <row r="62" ht="12.75">
      <c r="S62" s="78"/>
    </row>
    <row r="66" spans="23:33" ht="12.75">
      <c r="W66" t="s">
        <v>213</v>
      </c>
      <c r="AB66" t="s">
        <v>214</v>
      </c>
      <c r="AF66" t="s">
        <v>215</v>
      </c>
      <c r="AG66" t="s">
        <v>48</v>
      </c>
    </row>
    <row r="67" spans="10:32" ht="12.75">
      <c r="J67" s="71"/>
      <c r="AB67" t="s">
        <v>211</v>
      </c>
      <c r="AE67" t="s">
        <v>212</v>
      </c>
      <c r="AF67" t="s">
        <v>211</v>
      </c>
    </row>
    <row r="68" spans="10:33" ht="12.75">
      <c r="J68" s="71"/>
      <c r="W68">
        <v>1</v>
      </c>
      <c r="X68">
        <v>415</v>
      </c>
      <c r="Y68">
        <v>60</v>
      </c>
      <c r="AA68">
        <v>415</v>
      </c>
      <c r="AB68">
        <v>131.5</v>
      </c>
      <c r="AD68">
        <v>1</v>
      </c>
      <c r="AE68">
        <v>135.5</v>
      </c>
      <c r="AF68">
        <v>135.8</v>
      </c>
      <c r="AG68">
        <f aca="true" t="shared" si="62" ref="AG68:AG78">AF68-AE68</f>
        <v>0.30000000000001137</v>
      </c>
    </row>
    <row r="69" spans="10:33" ht="12.75">
      <c r="J69" s="71"/>
      <c r="W69">
        <v>2</v>
      </c>
      <c r="X69" s="71">
        <v>380</v>
      </c>
      <c r="Y69" s="79">
        <v>64</v>
      </c>
      <c r="AA69" s="71">
        <v>380</v>
      </c>
      <c r="AB69">
        <v>101</v>
      </c>
      <c r="AD69">
        <v>2</v>
      </c>
      <c r="AE69">
        <v>110.3</v>
      </c>
      <c r="AF69">
        <v>110</v>
      </c>
      <c r="AG69">
        <f t="shared" si="62"/>
        <v>-0.29999999999999716</v>
      </c>
    </row>
    <row r="70" spans="10:33" ht="12.75">
      <c r="J70" s="71"/>
      <c r="W70">
        <v>3</v>
      </c>
      <c r="X70" s="71">
        <v>361</v>
      </c>
      <c r="Y70" s="79">
        <v>62.5</v>
      </c>
      <c r="AA70" s="71">
        <v>361</v>
      </c>
      <c r="AB70">
        <v>90.7</v>
      </c>
      <c r="AD70">
        <v>3</v>
      </c>
      <c r="AE70">
        <v>84.2</v>
      </c>
      <c r="AF70">
        <v>94</v>
      </c>
      <c r="AG70">
        <f>AF70-AE70</f>
        <v>9.799999999999997</v>
      </c>
    </row>
    <row r="71" spans="10:33" ht="12.75">
      <c r="J71" s="71"/>
      <c r="W71">
        <v>4</v>
      </c>
      <c r="X71" s="71">
        <v>412</v>
      </c>
      <c r="Y71" s="80">
        <v>64</v>
      </c>
      <c r="AA71" s="71">
        <v>412</v>
      </c>
      <c r="AB71">
        <v>124.7</v>
      </c>
      <c r="AD71">
        <v>4</v>
      </c>
      <c r="AE71">
        <v>129.4</v>
      </c>
      <c r="AF71">
        <v>133</v>
      </c>
      <c r="AG71">
        <f t="shared" si="62"/>
        <v>3.5999999999999943</v>
      </c>
    </row>
    <row r="72" spans="10:33" ht="12.75">
      <c r="J72" s="71"/>
      <c r="W72">
        <v>5</v>
      </c>
      <c r="X72" s="71">
        <v>368</v>
      </c>
      <c r="Y72" s="80">
        <v>64</v>
      </c>
      <c r="AA72" s="71">
        <v>368</v>
      </c>
      <c r="AB72">
        <v>92</v>
      </c>
      <c r="AD72">
        <v>5</v>
      </c>
      <c r="AE72">
        <v>99.5</v>
      </c>
      <c r="AF72">
        <v>101</v>
      </c>
      <c r="AG72">
        <f t="shared" si="62"/>
        <v>1.5</v>
      </c>
    </row>
    <row r="73" spans="10:33" ht="12.75">
      <c r="J73" s="71"/>
      <c r="W73">
        <v>6</v>
      </c>
      <c r="X73" s="71">
        <v>405</v>
      </c>
      <c r="Y73" s="80">
        <v>61</v>
      </c>
      <c r="AA73" s="71">
        <v>405</v>
      </c>
      <c r="AB73">
        <v>123</v>
      </c>
      <c r="AD73">
        <v>6</v>
      </c>
      <c r="AE73">
        <v>124.9</v>
      </c>
      <c r="AF73">
        <v>127.5</v>
      </c>
      <c r="AG73">
        <f t="shared" si="62"/>
        <v>2.5999999999999943</v>
      </c>
    </row>
    <row r="74" spans="10:33" ht="12.75">
      <c r="J74" s="71"/>
      <c r="W74">
        <v>7</v>
      </c>
      <c r="X74" s="71">
        <v>398</v>
      </c>
      <c r="Y74" s="80">
        <v>67</v>
      </c>
      <c r="AA74" s="71">
        <v>398</v>
      </c>
      <c r="AB74">
        <v>110.7</v>
      </c>
      <c r="AD74">
        <v>7</v>
      </c>
      <c r="AE74">
        <v>120.4</v>
      </c>
      <c r="AF74">
        <v>119.5</v>
      </c>
      <c r="AG74">
        <f t="shared" si="62"/>
        <v>-0.9000000000000057</v>
      </c>
    </row>
    <row r="75" spans="10:33" ht="12.75">
      <c r="J75" s="71"/>
      <c r="W75">
        <v>8</v>
      </c>
      <c r="X75" s="71">
        <v>406</v>
      </c>
      <c r="Y75" s="80">
        <v>51</v>
      </c>
      <c r="AA75" s="71">
        <v>406</v>
      </c>
      <c r="AB75">
        <v>133.7</v>
      </c>
      <c r="AD75">
        <v>8</v>
      </c>
      <c r="AE75">
        <v>139.3</v>
      </c>
      <c r="AF75">
        <v>137.9</v>
      </c>
      <c r="AG75">
        <f t="shared" si="62"/>
        <v>-1.4000000000000057</v>
      </c>
    </row>
    <row r="76" spans="10:33" ht="12.75">
      <c r="J76" s="71"/>
      <c r="W76">
        <v>9</v>
      </c>
      <c r="X76" s="71">
        <v>418</v>
      </c>
      <c r="Y76" s="80">
        <v>88</v>
      </c>
      <c r="AA76" s="71">
        <v>418</v>
      </c>
      <c r="AB76">
        <v>93.5</v>
      </c>
      <c r="AD76">
        <v>9</v>
      </c>
      <c r="AE76">
        <v>106</v>
      </c>
      <c r="AF76">
        <v>102.2</v>
      </c>
      <c r="AG76">
        <f t="shared" si="62"/>
        <v>-3.799999999999997</v>
      </c>
    </row>
    <row r="77" spans="10:33" ht="12.75">
      <c r="J77" s="71"/>
      <c r="W77">
        <v>10</v>
      </c>
      <c r="X77" s="71">
        <v>385</v>
      </c>
      <c r="Y77" s="80">
        <v>57</v>
      </c>
      <c r="AA77" s="71">
        <v>385</v>
      </c>
      <c r="AB77">
        <v>112.5</v>
      </c>
      <c r="AD77">
        <v>10</v>
      </c>
      <c r="AE77">
        <v>115.7</v>
      </c>
      <c r="AF77">
        <v>117.1</v>
      </c>
      <c r="AG77">
        <f t="shared" si="62"/>
        <v>1.3999999999999915</v>
      </c>
    </row>
    <row r="78" spans="10:33" ht="12.75">
      <c r="J78" s="71"/>
      <c r="W78">
        <v>11</v>
      </c>
      <c r="X78" s="71">
        <v>422</v>
      </c>
      <c r="Y78" s="80">
        <v>70</v>
      </c>
      <c r="AA78" s="71">
        <v>422</v>
      </c>
      <c r="AB78">
        <v>125</v>
      </c>
      <c r="AD78">
        <v>11</v>
      </c>
      <c r="AE78">
        <v>125.6</v>
      </c>
      <c r="AF78">
        <v>129.7</v>
      </c>
      <c r="AG78">
        <f t="shared" si="62"/>
        <v>4.099999999999994</v>
      </c>
    </row>
    <row r="79" ht="12.75">
      <c r="J79" s="71"/>
    </row>
    <row r="80" ht="12.75">
      <c r="J80" s="71"/>
    </row>
    <row r="81" ht="12.75">
      <c r="J81" s="71"/>
    </row>
    <row r="82" ht="12.75">
      <c r="J82" s="71"/>
    </row>
    <row r="83" ht="12.75">
      <c r="J83" s="71"/>
    </row>
    <row r="84" ht="12.75">
      <c r="J84" s="71"/>
    </row>
    <row r="85" ht="12.75">
      <c r="J85" s="71"/>
    </row>
    <row r="86" ht="12.75">
      <c r="J86" s="71"/>
    </row>
  </sheetData>
  <mergeCells count="1">
    <mergeCell ref="K25:L26"/>
  </mergeCells>
  <printOptions/>
  <pageMargins left="0.75" right="0.75" top="1" bottom="1" header="0.5" footer="0.5"/>
  <pageSetup horizontalDpi="600" verticalDpi="600" orientation="portrait" r:id="rId4"/>
  <headerFooter alignWithMargins="0">
    <oddFooter>&amp;C&amp;F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BH1035"/>
  <sheetViews>
    <sheetView workbookViewId="0" topLeftCell="A1">
      <selection activeCell="B4" sqref="B4"/>
    </sheetView>
  </sheetViews>
  <sheetFormatPr defaultColWidth="9.140625" defaultRowHeight="12.75"/>
  <cols>
    <col min="1" max="1" width="19.28125" style="0" customWidth="1"/>
    <col min="2" max="2" width="13.00390625" style="0" customWidth="1"/>
    <col min="3" max="3" width="12.00390625" style="0" customWidth="1"/>
    <col min="4" max="4" width="12.28125" style="0" customWidth="1"/>
    <col min="5" max="5" width="9.421875" style="0" customWidth="1"/>
    <col min="6" max="6" width="11.28125" style="0" bestFit="1" customWidth="1"/>
    <col min="8" max="8" width="12.421875" style="0" bestFit="1" customWidth="1"/>
    <col min="9" max="9" width="7.57421875" style="0" customWidth="1"/>
    <col min="15" max="15" width="7.57421875" style="0" customWidth="1"/>
    <col min="17" max="17" width="12.28125" style="0" bestFit="1" customWidth="1"/>
    <col min="20" max="20" width="7.8515625" style="0" customWidth="1"/>
    <col min="21" max="21" width="12.00390625" style="0" bestFit="1" customWidth="1"/>
    <col min="25" max="25" width="9.00390625" style="0" customWidth="1"/>
    <col min="37" max="37" width="12.421875" style="0" bestFit="1" customWidth="1"/>
    <col min="52" max="52" width="9.00390625" style="0" bestFit="1" customWidth="1"/>
    <col min="60" max="60" width="11.00390625" style="0" bestFit="1" customWidth="1"/>
  </cols>
  <sheetData>
    <row r="1" spans="1:56" ht="12.75">
      <c r="A1">
        <v>1</v>
      </c>
      <c r="B1">
        <f>A1+1</f>
        <v>2</v>
      </c>
      <c r="C1">
        <f aca="true" t="shared" si="0" ref="C1:BD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c r="AU1">
        <f t="shared" si="0"/>
        <v>47</v>
      </c>
      <c r="AV1">
        <f t="shared" si="0"/>
        <v>48</v>
      </c>
      <c r="AW1">
        <f t="shared" si="0"/>
        <v>49</v>
      </c>
      <c r="AX1">
        <f t="shared" si="0"/>
        <v>50</v>
      </c>
      <c r="AY1">
        <f t="shared" si="0"/>
        <v>51</v>
      </c>
      <c r="AZ1">
        <f t="shared" si="0"/>
        <v>52</v>
      </c>
      <c r="BA1">
        <f t="shared" si="0"/>
        <v>53</v>
      </c>
      <c r="BB1">
        <f t="shared" si="0"/>
        <v>54</v>
      </c>
      <c r="BC1">
        <f t="shared" si="0"/>
        <v>55</v>
      </c>
      <c r="BD1">
        <f t="shared" si="0"/>
        <v>56</v>
      </c>
    </row>
    <row r="2" spans="1:3" ht="12.75">
      <c r="A2" s="6" t="s">
        <v>10</v>
      </c>
      <c r="B2" s="7">
        <f>'Input form'!C19</f>
        <v>131.81723022460938</v>
      </c>
      <c r="C2" t="s">
        <v>16</v>
      </c>
    </row>
    <row r="3" spans="1:51" ht="12.75">
      <c r="A3" s="6" t="s">
        <v>13</v>
      </c>
      <c r="B3" s="7">
        <f>'Input form'!C22</f>
        <v>14.7</v>
      </c>
      <c r="C3" t="s">
        <v>4</v>
      </c>
      <c r="D3" t="s">
        <v>380</v>
      </c>
      <c r="G3" s="3"/>
      <c r="N3" t="s">
        <v>58</v>
      </c>
      <c r="P3" t="s">
        <v>112</v>
      </c>
      <c r="S3" t="s">
        <v>57</v>
      </c>
      <c r="AY3">
        <f>MIN($AZ$8)</f>
        <v>1.0866126274426602</v>
      </c>
    </row>
    <row r="4" spans="1:58" ht="12.75">
      <c r="A4" s="6" t="s">
        <v>50</v>
      </c>
      <c r="B4" s="7">
        <f>'Input form'!C21/100*D4</f>
        <v>392.73012576022126</v>
      </c>
      <c r="C4" t="s">
        <v>51</v>
      </c>
      <c r="D4">
        <f>'Antoine cffnts'!D44</f>
        <v>785.4602515204425</v>
      </c>
      <c r="E4" t="s">
        <v>381</v>
      </c>
      <c r="G4" s="3"/>
      <c r="J4" t="s">
        <v>41</v>
      </c>
      <c r="K4">
        <f>SUM(K12:K30)</f>
        <v>2404.051608506893</v>
      </c>
      <c r="N4" t="s">
        <v>59</v>
      </c>
      <c r="O4">
        <f>K4*(1-P4/100)</f>
        <v>2401.647556862563</v>
      </c>
      <c r="P4">
        <v>0.10000000149011612</v>
      </c>
      <c r="S4" t="s">
        <v>56</v>
      </c>
      <c r="T4">
        <f>SUM(T12:T30)</f>
        <v>2403.862049333489</v>
      </c>
      <c r="AN4">
        <v>352</v>
      </c>
      <c r="AO4" t="s">
        <v>311</v>
      </c>
      <c r="AP4" t="s">
        <v>312</v>
      </c>
      <c r="AQ4" t="s">
        <v>313</v>
      </c>
      <c r="AR4">
        <v>180</v>
      </c>
      <c r="AY4">
        <f>COUNT($AS$6:$AU$6)</f>
        <v>3</v>
      </c>
      <c r="BD4" t="s">
        <v>71</v>
      </c>
      <c r="BE4" t="s">
        <v>72</v>
      </c>
      <c r="BF4" t="s">
        <v>73</v>
      </c>
    </row>
    <row r="5" spans="1:58" ht="12.75">
      <c r="A5" s="10" t="s">
        <v>39</v>
      </c>
      <c r="B5" s="10">
        <f>B35</f>
        <v>0.043999648133494405</v>
      </c>
      <c r="F5">
        <v>0.03</v>
      </c>
      <c r="H5" s="2" t="s">
        <v>43</v>
      </c>
      <c r="L5" t="s">
        <v>43</v>
      </c>
      <c r="O5" t="s">
        <v>44</v>
      </c>
      <c r="AS5" t="s">
        <v>71</v>
      </c>
      <c r="AT5" t="s">
        <v>72</v>
      </c>
      <c r="AU5" t="s">
        <v>73</v>
      </c>
      <c r="AY5" t="b">
        <f>$AZ$14=0</f>
        <v>0</v>
      </c>
      <c r="BD5">
        <v>9.445165518968365</v>
      </c>
      <c r="BE5">
        <v>1135.6814949963596</v>
      </c>
      <c r="BF5">
        <v>-92.8228715244565</v>
      </c>
    </row>
    <row r="6" spans="1:51" ht="12.75">
      <c r="A6" s="9" t="s">
        <v>6</v>
      </c>
      <c r="B6" s="9">
        <f>B4/B11</f>
        <v>392.73012576022126</v>
      </c>
      <c r="C6" s="4" t="s">
        <v>5</v>
      </c>
      <c r="D6" s="4"/>
      <c r="E6" s="4" t="s">
        <v>69</v>
      </c>
      <c r="G6" t="s">
        <v>12</v>
      </c>
      <c r="H6" t="s">
        <v>19</v>
      </c>
      <c r="I6" t="s">
        <v>9</v>
      </c>
      <c r="J6" t="b">
        <v>1</v>
      </c>
      <c r="K6" t="s">
        <v>24</v>
      </c>
      <c r="L6" t="s">
        <v>42</v>
      </c>
      <c r="N6" t="s">
        <v>45</v>
      </c>
      <c r="O6" t="s">
        <v>24</v>
      </c>
      <c r="P6" t="s">
        <v>26</v>
      </c>
      <c r="Q6" t="s">
        <v>28</v>
      </c>
      <c r="S6" t="s">
        <v>52</v>
      </c>
      <c r="T6" t="s">
        <v>44</v>
      </c>
      <c r="AK6" t="s">
        <v>107</v>
      </c>
      <c r="AN6" t="s">
        <v>26</v>
      </c>
      <c r="AO6" t="s">
        <v>26</v>
      </c>
      <c r="AP6" t="s">
        <v>26</v>
      </c>
      <c r="AQ6" t="s">
        <v>26</v>
      </c>
      <c r="AS6" s="13">
        <v>4.176492094904013</v>
      </c>
      <c r="AT6" s="14">
        <v>1798.8523336507596</v>
      </c>
      <c r="AU6" s="14">
        <v>-30.806193021897332</v>
      </c>
      <c r="AY6">
        <f>{100,100,0.001,0.05,FALSE,FALSE,FALSE,1,1,1,0.0001,FALSE}</f>
        <v>100</v>
      </c>
    </row>
    <row r="7" spans="1:43" ht="12.75">
      <c r="A7" s="4" t="s">
        <v>34</v>
      </c>
      <c r="B7" s="4">
        <f>0.082*14.7/1000</f>
        <v>0.0012054000000000001</v>
      </c>
      <c r="C7" s="4" t="s">
        <v>35</v>
      </c>
      <c r="D7" s="4"/>
      <c r="E7" s="4"/>
      <c r="H7" t="s">
        <v>20</v>
      </c>
      <c r="J7" t="s">
        <v>8</v>
      </c>
      <c r="K7" s="1" t="s">
        <v>40</v>
      </c>
      <c r="L7" t="s">
        <v>25</v>
      </c>
      <c r="N7" t="s">
        <v>46</v>
      </c>
      <c r="O7" t="s">
        <v>25</v>
      </c>
      <c r="P7" t="s">
        <v>22</v>
      </c>
      <c r="Q7" t="s">
        <v>29</v>
      </c>
      <c r="S7" t="s">
        <v>53</v>
      </c>
      <c r="T7" t="s">
        <v>55</v>
      </c>
      <c r="AN7" t="s">
        <v>22</v>
      </c>
      <c r="AO7" t="s">
        <v>22</v>
      </c>
      <c r="AP7" t="s">
        <v>22</v>
      </c>
      <c r="AQ7" t="s">
        <v>22</v>
      </c>
    </row>
    <row r="8" spans="1:60" ht="12.75">
      <c r="A8" s="4"/>
      <c r="B8" s="4"/>
      <c r="C8" s="4"/>
      <c r="D8" s="4"/>
      <c r="E8" s="4"/>
      <c r="F8" t="s">
        <v>141</v>
      </c>
      <c r="H8" t="s">
        <v>11</v>
      </c>
      <c r="J8" t="s">
        <v>22</v>
      </c>
      <c r="N8" t="s">
        <v>47</v>
      </c>
      <c r="S8" t="s">
        <v>54</v>
      </c>
      <c r="W8" t="s">
        <v>64</v>
      </c>
      <c r="Y8" t="s">
        <v>142</v>
      </c>
      <c r="AA8" t="s">
        <v>79</v>
      </c>
      <c r="AY8" t="s">
        <v>324</v>
      </c>
      <c r="AZ8">
        <f>SUM(AZ12:AZ15)^0.5</f>
        <v>1.0866126274426602</v>
      </c>
      <c r="BH8">
        <f>SUM(BH12:BH16)^0.5</f>
        <v>0.23239624928221744</v>
      </c>
    </row>
    <row r="9" spans="1:51" ht="12.75">
      <c r="A9" s="5" t="s">
        <v>10</v>
      </c>
      <c r="B9" s="5">
        <f>B2</f>
        <v>131.81723022460938</v>
      </c>
      <c r="C9" s="5" t="s">
        <v>16</v>
      </c>
      <c r="D9" s="5"/>
      <c r="E9" s="4"/>
      <c r="F9" t="s">
        <v>140</v>
      </c>
      <c r="J9" t="s">
        <v>4</v>
      </c>
      <c r="N9" t="s">
        <v>11</v>
      </c>
      <c r="O9">
        <f>SUM(O12:O30)</f>
        <v>1.0009220711830735</v>
      </c>
      <c r="P9" t="s">
        <v>4</v>
      </c>
      <c r="Q9" t="s">
        <v>11</v>
      </c>
      <c r="S9" t="s">
        <v>11</v>
      </c>
      <c r="U9" t="s">
        <v>63</v>
      </c>
      <c r="W9" t="s">
        <v>68</v>
      </c>
      <c r="X9">
        <f>SUM(W12:W30)</f>
        <v>0.1895591734034647</v>
      </c>
      <c r="Y9" t="s">
        <v>143</v>
      </c>
      <c r="AA9" t="s">
        <v>80</v>
      </c>
      <c r="AG9">
        <f>B9</f>
        <v>131.81723022460938</v>
      </c>
      <c r="AH9" t="s">
        <v>74</v>
      </c>
      <c r="AK9">
        <f>SUM(AK12:AK30)</f>
        <v>1904.486231273742</v>
      </c>
      <c r="AM9" t="s">
        <v>309</v>
      </c>
      <c r="AN9" t="s">
        <v>4</v>
      </c>
      <c r="AO9" t="s">
        <v>4</v>
      </c>
      <c r="AP9" t="s">
        <v>4</v>
      </c>
      <c r="AQ9" t="s">
        <v>4</v>
      </c>
      <c r="AX9" t="s">
        <v>74</v>
      </c>
      <c r="AY9" t="s">
        <v>323</v>
      </c>
    </row>
    <row r="10" spans="1:54" ht="12.75">
      <c r="A10" s="5" t="s">
        <v>13</v>
      </c>
      <c r="B10" s="5">
        <f>B3</f>
        <v>14.7</v>
      </c>
      <c r="C10" s="5" t="s">
        <v>7</v>
      </c>
      <c r="D10" s="5"/>
      <c r="E10" s="4">
        <v>0.03</v>
      </c>
      <c r="F10">
        <v>0.025</v>
      </c>
      <c r="H10">
        <f>SUM(H12:H30)</f>
        <v>392598.2514133964</v>
      </c>
      <c r="M10" t="s">
        <v>2</v>
      </c>
      <c r="N10">
        <f>SUM(N12:N30)</f>
        <v>23.406563323517997</v>
      </c>
      <c r="P10" t="s">
        <v>83</v>
      </c>
      <c r="S10">
        <f>SUM(S12:S30)</f>
        <v>392574.84515247034</v>
      </c>
      <c r="W10" t="s">
        <v>65</v>
      </c>
      <c r="X10" t="s">
        <v>42</v>
      </c>
      <c r="Z10" t="s">
        <v>120</v>
      </c>
      <c r="AG10">
        <f>((AG9+40)*5/9-40)+273.15</f>
        <v>328.6040167914496</v>
      </c>
      <c r="AH10" t="s">
        <v>75</v>
      </c>
      <c r="AM10" t="s">
        <v>310</v>
      </c>
      <c r="AN10" t="s">
        <v>83</v>
      </c>
      <c r="AO10" t="s">
        <v>83</v>
      </c>
      <c r="AP10" t="s">
        <v>83</v>
      </c>
      <c r="AQ10" t="s">
        <v>83</v>
      </c>
      <c r="AX10" t="s">
        <v>75</v>
      </c>
      <c r="AY10" t="s">
        <v>61</v>
      </c>
      <c r="BB10" t="s">
        <v>321</v>
      </c>
    </row>
    <row r="11" spans="1:60" ht="12.75">
      <c r="A11" s="5" t="s">
        <v>14</v>
      </c>
      <c r="B11" s="5">
        <v>1</v>
      </c>
      <c r="C11" s="5" t="s">
        <v>3</v>
      </c>
      <c r="D11" s="5"/>
      <c r="E11" s="4"/>
      <c r="M11" t="s">
        <v>49</v>
      </c>
      <c r="P11">
        <f>SUM(P12:P30)</f>
        <v>0.15016850490274952</v>
      </c>
      <c r="Q11">
        <f>SUM(Q12:Q30)</f>
        <v>23.406260926018696</v>
      </c>
      <c r="R11" t="s">
        <v>48</v>
      </c>
      <c r="V11" t="s">
        <v>66</v>
      </c>
      <c r="W11" t="s">
        <v>57</v>
      </c>
      <c r="X11" t="s">
        <v>67</v>
      </c>
      <c r="AA11" t="s">
        <v>69</v>
      </c>
      <c r="AB11" t="s">
        <v>70</v>
      </c>
      <c r="AC11" t="s">
        <v>71</v>
      </c>
      <c r="AD11" t="s">
        <v>72</v>
      </c>
      <c r="AE11" t="s">
        <v>73</v>
      </c>
      <c r="AG11" t="s">
        <v>76</v>
      </c>
      <c r="AH11" t="s">
        <v>77</v>
      </c>
      <c r="AI11" t="s">
        <v>78</v>
      </c>
      <c r="AN11">
        <v>14.692019797134865</v>
      </c>
      <c r="AO11">
        <v>0.39371624769068553</v>
      </c>
      <c r="AP11">
        <v>0.1819467761820107</v>
      </c>
      <c r="AQ11">
        <v>0.056406268831235035</v>
      </c>
      <c r="AR11">
        <v>0.7887053417187352</v>
      </c>
      <c r="AU11" t="s">
        <v>320</v>
      </c>
      <c r="AV11" t="s">
        <v>319</v>
      </c>
      <c r="AW11" t="s">
        <v>76</v>
      </c>
      <c r="AX11" t="s">
        <v>77</v>
      </c>
      <c r="AY11" t="s">
        <v>78</v>
      </c>
      <c r="AZ11" t="s">
        <v>314</v>
      </c>
      <c r="BB11" t="s">
        <v>322</v>
      </c>
      <c r="BC11" t="s">
        <v>9</v>
      </c>
      <c r="BD11" t="s">
        <v>331</v>
      </c>
      <c r="BE11" t="s">
        <v>332</v>
      </c>
      <c r="BF11" t="s">
        <v>333</v>
      </c>
      <c r="BG11" t="s">
        <v>334</v>
      </c>
      <c r="BH11" t="s">
        <v>314</v>
      </c>
    </row>
    <row r="12" spans="1:60" ht="12.75">
      <c r="A12" s="5" t="s">
        <v>15</v>
      </c>
      <c r="B12" s="5">
        <f>B4*1000</f>
        <v>392730.1257602213</v>
      </c>
      <c r="C12" s="5" t="s">
        <v>17</v>
      </c>
      <c r="D12" s="5"/>
      <c r="E12" s="15">
        <v>1</v>
      </c>
      <c r="F12">
        <v>2</v>
      </c>
      <c r="G12">
        <f>'Input form'!N5/100</f>
        <v>0</v>
      </c>
      <c r="H12">
        <f>$B$12*G12</f>
        <v>0</v>
      </c>
      <c r="I12">
        <f>E12*12+E12*F12+F12</f>
        <v>16</v>
      </c>
      <c r="J12">
        <f>AI12</f>
        <v>7274.9551267606</v>
      </c>
      <c r="K12">
        <f>H12/I12</f>
        <v>0</v>
      </c>
      <c r="L12">
        <f aca="true" t="shared" si="1" ref="L12:L30">K12/$K$4</f>
        <v>0</v>
      </c>
      <c r="M12">
        <f>EXP(U12)-1</f>
        <v>1.0000000494336803E-07</v>
      </c>
      <c r="N12">
        <f>H12*M12/100</f>
        <v>0</v>
      </c>
      <c r="O12">
        <f>(H12-N12)/I12/$O$4</f>
        <v>0</v>
      </c>
      <c r="P12">
        <f aca="true" t="shared" si="2" ref="P12:P30">J12*O12</f>
        <v>0</v>
      </c>
      <c r="Q12">
        <f aca="true" t="shared" si="3" ref="Q12:Q30">P12*$B$27*I12/($B$7*$B$15)</f>
        <v>0</v>
      </c>
      <c r="R12">
        <f>IF(N12&gt;0,(Q12-N12)/N12,0)</f>
        <v>0</v>
      </c>
      <c r="S12">
        <f>H12-Q12</f>
        <v>0</v>
      </c>
      <c r="T12">
        <f>S12/I12</f>
        <v>0</v>
      </c>
      <c r="U12">
        <v>1E-07</v>
      </c>
      <c r="V12">
        <f>E12</f>
        <v>1</v>
      </c>
      <c r="W12">
        <f>Q12/I12</f>
        <v>0</v>
      </c>
      <c r="X12">
        <f aca="true" t="shared" si="4" ref="X12:X30">W12/$X$9</f>
        <v>0</v>
      </c>
      <c r="Y12" s="19">
        <f>N12/$N$10*100</f>
        <v>0</v>
      </c>
      <c r="Z12">
        <f>N12/$B$33</f>
        <v>0</v>
      </c>
      <c r="AA12">
        <v>1</v>
      </c>
      <c r="AB12">
        <f>AA12*2+2</f>
        <v>4</v>
      </c>
      <c r="AC12" s="13">
        <v>4.22061</v>
      </c>
      <c r="AD12" s="14">
        <v>516.689</v>
      </c>
      <c r="AE12" s="14">
        <v>11.223</v>
      </c>
      <c r="AG12">
        <f>AC12-(AD12/($AG$10+AE12))</f>
        <v>2.700162906421534</v>
      </c>
      <c r="AH12">
        <f>10^AG12</f>
        <v>501.375267178539</v>
      </c>
      <c r="AI12">
        <f>AH12*14.51</f>
        <v>7274.9551267606</v>
      </c>
      <c r="AK12">
        <f>H12*$B$7*$B$15/(I12*$B$27)</f>
        <v>0</v>
      </c>
      <c r="AN12">
        <v>0</v>
      </c>
      <c r="AO12">
        <v>0</v>
      </c>
      <c r="AP12">
        <v>0</v>
      </c>
      <c r="AQ12">
        <v>0</v>
      </c>
      <c r="AR12">
        <v>0</v>
      </c>
      <c r="AU12">
        <v>60</v>
      </c>
      <c r="AV12">
        <f>((AU12+40)*5/9-40)+273.15</f>
        <v>288.7055555555555</v>
      </c>
      <c r="AW12">
        <f>$AS$6-($AT$6/(AV12+$AU$6))</f>
        <v>-2.7985245006332997</v>
      </c>
      <c r="AX12">
        <f>10^AW12</f>
        <v>0.001590286965581789</v>
      </c>
      <c r="AY12">
        <f>AX12*14.51</f>
        <v>0.023075063870591758</v>
      </c>
      <c r="AZ12">
        <f>((AY12-BB12)/AY12*100)^2</f>
        <v>0.2446190373279061</v>
      </c>
      <c r="BA12">
        <f>1/AV12*1000</f>
        <v>3.463736602074394</v>
      </c>
      <c r="BB12">
        <v>0.02318919077515602</v>
      </c>
      <c r="BC12">
        <v>110.88443426268512</v>
      </c>
      <c r="BD12">
        <v>4148.764007000609</v>
      </c>
      <c r="BE12">
        <f>1/AV12*1000</f>
        <v>3.463736602074394</v>
      </c>
      <c r="BF12">
        <f>$BD$5-($BE$5/(AV12+$BF$5))</f>
        <v>3.647401920752328</v>
      </c>
      <c r="BG12">
        <f>10^BF12</f>
        <v>4440.193745651213</v>
      </c>
      <c r="BH12">
        <f>((BG12-BD12)/BD12)^2</f>
        <v>0.004934353624160323</v>
      </c>
    </row>
    <row r="13" spans="1:60" ht="12.75">
      <c r="A13" s="5" t="s">
        <v>6</v>
      </c>
      <c r="B13" s="5">
        <f>B12/1000/B11</f>
        <v>392.73012576022126</v>
      </c>
      <c r="C13" s="5" t="s">
        <v>18</v>
      </c>
      <c r="E13" s="15">
        <v>2</v>
      </c>
      <c r="F13">
        <f aca="true" t="shared" si="5" ref="F13:F30">F12-$F$10</f>
        <v>1.975</v>
      </c>
      <c r="G13">
        <f>'Input form'!N6/100</f>
        <v>9.992007221626409E-16</v>
      </c>
      <c r="H13">
        <f aca="true" t="shared" si="6" ref="H13:H30">$B$12*G13</f>
        <v>3.924162252746379E-10</v>
      </c>
      <c r="I13">
        <f aca="true" t="shared" si="7" ref="I13:I30">E13*12+E13*F13+F13</f>
        <v>29.925</v>
      </c>
      <c r="J13">
        <f>AI13</f>
        <v>965.3610259614665</v>
      </c>
      <c r="K13">
        <f>H13/I13</f>
        <v>1.3113324152870105E-11</v>
      </c>
      <c r="L13">
        <f t="shared" si="1"/>
        <v>5.45467664107865E-15</v>
      </c>
      <c r="M13">
        <f aca="true" t="shared" si="8" ref="M13:M30">EXP(U13)-1</f>
        <v>33.66083360222552</v>
      </c>
      <c r="N13">
        <f>H13*M13/100</f>
        <v>1.320905726178303E-10</v>
      </c>
      <c r="O13">
        <f>(H13-N13)/I13/$O$4</f>
        <v>3.6222092226623396E-15</v>
      </c>
      <c r="P13">
        <f t="shared" si="2"/>
        <v>3.496739611436402E-12</v>
      </c>
      <c r="Q13">
        <f>P13*$B$27*I13/($B$7*$B$15)</f>
        <v>1.3208801135165053E-10</v>
      </c>
      <c r="R13">
        <f>IF(N13&gt;0,(Q13-N13)/N13,0)</f>
        <v>-1.9390226940543955E-05</v>
      </c>
      <c r="S13">
        <f>H13-Q13</f>
        <v>2.6032821392298735E-10</v>
      </c>
      <c r="T13">
        <f>S13/I13</f>
        <v>8.699355519565158E-12</v>
      </c>
      <c r="U13">
        <v>3.545610334841449</v>
      </c>
      <c r="V13">
        <f>E13</f>
        <v>2</v>
      </c>
      <c r="W13">
        <f>Q13/I13</f>
        <v>4.413968633304947E-12</v>
      </c>
      <c r="X13">
        <f t="shared" si="4"/>
        <v>2.328543933830147E-11</v>
      </c>
      <c r="Y13" s="19">
        <f aca="true" t="shared" si="9" ref="Y13:Y30">N13/$N$10*100</f>
        <v>5.643313407103676E-10</v>
      </c>
      <c r="Z13">
        <f aca="true" t="shared" si="10" ref="Z13:Z30">N13/$B$33</f>
        <v>2.4830380421959324E-13</v>
      </c>
      <c r="AA13">
        <f>AA12+1</f>
        <v>2</v>
      </c>
      <c r="AB13">
        <f aca="true" t="shared" si="11" ref="AB13:AB30">AA13*2+2</f>
        <v>6</v>
      </c>
      <c r="AC13" s="13">
        <v>3.93835</v>
      </c>
      <c r="AD13" s="14">
        <v>659.739</v>
      </c>
      <c r="AE13" s="14">
        <v>-16.719</v>
      </c>
      <c r="AG13">
        <f aca="true" t="shared" si="12" ref="AG13:AG30">AC13-(AD13/($AG$10+AE13))</f>
        <v>1.8230223488446629</v>
      </c>
      <c r="AH13">
        <f aca="true" t="shared" si="13" ref="AH13:AH30">10^AG13</f>
        <v>66.53073921167929</v>
      </c>
      <c r="AI13">
        <f aca="true" t="shared" si="14" ref="AI13:AI30">AH13*14.51</f>
        <v>965.3610259614665</v>
      </c>
      <c r="AK13">
        <f aca="true" t="shared" si="15" ref="AK13:AK30">H13*$B$7*$B$15/(I13*$B$27)</f>
        <v>1.0388356558984794E-11</v>
      </c>
      <c r="AN13">
        <v>1.203318475900323E-10</v>
      </c>
      <c r="AO13">
        <v>4.971197008880166E-11</v>
      </c>
      <c r="AP13">
        <v>4.039041361714106E-11</v>
      </c>
      <c r="AQ13">
        <v>2.9098470608580145E-11</v>
      </c>
      <c r="AR13">
        <v>5.957122469909612E-11</v>
      </c>
      <c r="AU13">
        <v>90</v>
      </c>
      <c r="AV13">
        <f>((AU13+40)*5/9-40)+273.15</f>
        <v>305.3722222222222</v>
      </c>
      <c r="AW13">
        <f>$AS$6-($AT$6/(AV13+$AU$6))</f>
        <v>-2.37512807052551</v>
      </c>
      <c r="AX13">
        <f aca="true" t="shared" si="16" ref="AX13:AX39">10^AW13</f>
        <v>0.004215721662962958</v>
      </c>
      <c r="AY13">
        <f aca="true" t="shared" si="17" ref="AY13:AY39">AX13*14.51</f>
        <v>0.06117012132959253</v>
      </c>
      <c r="AZ13">
        <f>((AY13-BB13)/AY13*100)^2</f>
        <v>0.36478824363510265</v>
      </c>
      <c r="BA13">
        <f>1/AV13*1000</f>
        <v>3.274692087980061</v>
      </c>
      <c r="BB13">
        <v>0.060800667852163315</v>
      </c>
      <c r="BC13">
        <v>114.16676206938791</v>
      </c>
      <c r="BD13">
        <v>11210.9383957308</v>
      </c>
      <c r="BE13">
        <f>1/AV13*1000</f>
        <v>3.274692087980061</v>
      </c>
      <c r="BF13">
        <f>$BD$5-($BE$5/(AV13+$BF$5))</f>
        <v>4.102022896946242</v>
      </c>
      <c r="BG13">
        <f>10^BF13</f>
        <v>12648.030288699685</v>
      </c>
      <c r="BH13">
        <f>((BG13-BD13)/BD13)^2</f>
        <v>0.01643180023951072</v>
      </c>
    </row>
    <row r="14" spans="1:60" ht="12.75">
      <c r="A14" s="5" t="s">
        <v>21</v>
      </c>
      <c r="B14" s="5">
        <f>SUM(H12:H30)</f>
        <v>392598.2514133964</v>
      </c>
      <c r="C14" s="5"/>
      <c r="D14" s="5"/>
      <c r="E14" s="15">
        <v>3</v>
      </c>
      <c r="F14">
        <f t="shared" si="5"/>
        <v>1.9500000000000002</v>
      </c>
      <c r="G14">
        <f>'Input form'!N7/100</f>
        <v>3.3703373425453265E-11</v>
      </c>
      <c r="H14">
        <f t="shared" si="6"/>
        <v>1.323633008392196E-05</v>
      </c>
      <c r="I14">
        <f t="shared" si="7"/>
        <v>43.800000000000004</v>
      </c>
      <c r="J14">
        <f aca="true" t="shared" si="18" ref="J14:J30">AI14</f>
        <v>282.61273134727094</v>
      </c>
      <c r="K14">
        <f aca="true" t="shared" si="19" ref="K14:K30">H14/I14</f>
        <v>3.0219931698451963E-07</v>
      </c>
      <c r="L14">
        <f t="shared" si="1"/>
        <v>1.25704172038224E-10</v>
      </c>
      <c r="M14">
        <f t="shared" si="8"/>
        <v>12.933337469785549</v>
      </c>
      <c r="N14">
        <f>H14*M14/100</f>
        <v>1.711899238368376E-06</v>
      </c>
      <c r="O14">
        <f aca="true" t="shared" si="20" ref="O14:O30">(H14-N14)/I14/$O$4</f>
        <v>1.0955598323979299E-10</v>
      </c>
      <c r="P14">
        <f t="shared" si="2"/>
        <v>3.096191565883373E-08</v>
      </c>
      <c r="Q14">
        <f t="shared" si="3"/>
        <v>1.7118585769151896E-06</v>
      </c>
      <c r="R14">
        <f aca="true" t="shared" si="21" ref="R14:R30">IF(N14&gt;0,(Q14-N14)/N14,0)</f>
        <v>-2.3752246788255104E-05</v>
      </c>
      <c r="S14">
        <f aca="true" t="shared" si="22" ref="S14:S30">H14-Q14</f>
        <v>1.1524471507006772E-05</v>
      </c>
      <c r="T14">
        <f aca="true" t="shared" si="23" ref="T14:T30">S14/I14</f>
        <v>2.631157878312048E-07</v>
      </c>
      <c r="U14">
        <v>2.634284347737118</v>
      </c>
      <c r="V14">
        <f aca="true" t="shared" si="24" ref="V14:V30">E14</f>
        <v>3</v>
      </c>
      <c r="W14">
        <f aca="true" t="shared" si="25" ref="W14:W30">Q14/I14</f>
        <v>3.908352915331483E-08</v>
      </c>
      <c r="X14">
        <f t="shared" si="4"/>
        <v>2.0618115415669182E-07</v>
      </c>
      <c r="Y14" s="19">
        <f t="shared" si="9"/>
        <v>7.31375731971864E-06</v>
      </c>
      <c r="Z14">
        <f t="shared" si="10"/>
        <v>3.218027486013893E-09</v>
      </c>
      <c r="AA14">
        <f aca="true" t="shared" si="26" ref="AA14:AA30">AA13+1</f>
        <v>3</v>
      </c>
      <c r="AB14">
        <f t="shared" si="11"/>
        <v>8</v>
      </c>
      <c r="AC14" s="13">
        <v>3.98292</v>
      </c>
      <c r="AD14" s="14">
        <v>819.296</v>
      </c>
      <c r="AE14" s="14">
        <v>-24.417</v>
      </c>
      <c r="AG14">
        <f t="shared" si="12"/>
        <v>1.289524309934409</v>
      </c>
      <c r="AH14">
        <f t="shared" si="13"/>
        <v>19.47710071311309</v>
      </c>
      <c r="AI14">
        <f t="shared" si="14"/>
        <v>282.61273134727094</v>
      </c>
      <c r="AK14">
        <f t="shared" si="15"/>
        <v>2.3940186486046337E-07</v>
      </c>
      <c r="AN14">
        <v>1.101844724799178E-06</v>
      </c>
      <c r="AO14">
        <v>2.84864305554314E-07</v>
      </c>
      <c r="AP14">
        <v>2.085890838336221E-07</v>
      </c>
      <c r="AQ14">
        <v>1.285024553167995E-07</v>
      </c>
      <c r="AR14">
        <v>3.7484060998262627E-07</v>
      </c>
      <c r="AU14">
        <v>120</v>
      </c>
      <c r="AV14">
        <f>((AU14+40)*5/9-40)+273.15</f>
        <v>322.0388888888889</v>
      </c>
      <c r="AW14">
        <f>$AS$6-($AT$6/(AV14+$AU$6))</f>
        <v>-2.0001919078849832</v>
      </c>
      <c r="AX14">
        <f t="shared" si="16"/>
        <v>0.00999558213381269</v>
      </c>
      <c r="AY14">
        <f t="shared" si="17"/>
        <v>0.14503589676162212</v>
      </c>
      <c r="AZ14">
        <f>((AY14-BB14)/AY14*100)^2</f>
        <v>0.5142108199599721</v>
      </c>
      <c r="BA14">
        <f>1/AV14*1000</f>
        <v>3.105215036141253</v>
      </c>
      <c r="BB14">
        <v>0.14399586617946625</v>
      </c>
      <c r="BC14">
        <v>117.16546024993154</v>
      </c>
      <c r="BD14">
        <v>27272.60269756721</v>
      </c>
      <c r="BE14">
        <f>1/AV14*1000</f>
        <v>3.105215036141253</v>
      </c>
      <c r="BF14">
        <f>$BD$5-($BE$5/(AV14+$BF$5))</f>
        <v>4.4905314229107125</v>
      </c>
      <c r="BG14">
        <f>10^BF14</f>
        <v>30940.79176128041</v>
      </c>
      <c r="BH14">
        <f>((BG14-BD14)/BD14)^2</f>
        <v>0.018090486730638185</v>
      </c>
    </row>
    <row r="15" spans="1:60" ht="12.75">
      <c r="A15" s="5" t="s">
        <v>23</v>
      </c>
      <c r="B15" s="5">
        <f>(B9+40)*5/9-40+273.15</f>
        <v>328.6040167914496</v>
      </c>
      <c r="C15" s="5"/>
      <c r="D15" s="5"/>
      <c r="E15" s="15">
        <f aca="true" t="shared" si="27" ref="E15:E30">E14+1</f>
        <v>4</v>
      </c>
      <c r="F15">
        <f t="shared" si="5"/>
        <v>1.9250000000000003</v>
      </c>
      <c r="G15">
        <f>'Input form'!N8/100</f>
        <v>4.442448875430216E-08</v>
      </c>
      <c r="H15">
        <f t="shared" si="6"/>
        <v>0.01744683505531062</v>
      </c>
      <c r="I15">
        <f t="shared" si="7"/>
        <v>57.625</v>
      </c>
      <c r="J15">
        <f t="shared" si="18"/>
        <v>79.6758022677554</v>
      </c>
      <c r="K15">
        <f t="shared" si="19"/>
        <v>0.0003027650334977982</v>
      </c>
      <c r="L15">
        <f t="shared" si="1"/>
        <v>1.2593948999532475E-07</v>
      </c>
      <c r="M15">
        <f t="shared" si="8"/>
        <v>4.019493034164927</v>
      </c>
      <c r="N15">
        <f aca="true" t="shared" si="28" ref="N15:N30">H15*M15/100</f>
        <v>0.000701274319730455</v>
      </c>
      <c r="O15">
        <f t="shared" si="20"/>
        <v>1.2099835932883168E-07</v>
      </c>
      <c r="P15">
        <f t="shared" si="2"/>
        <v>9.64064135260681E-06</v>
      </c>
      <c r="Q15">
        <f t="shared" si="3"/>
        <v>0.000701266050474427</v>
      </c>
      <c r="R15">
        <f t="shared" si="21"/>
        <v>-1.1791756514271792E-05</v>
      </c>
      <c r="S15">
        <f t="shared" si="22"/>
        <v>0.016745569004836196</v>
      </c>
      <c r="T15">
        <f t="shared" si="23"/>
        <v>0.0002905955575676563</v>
      </c>
      <c r="U15">
        <v>1.6133289393937102</v>
      </c>
      <c r="V15">
        <f t="shared" si="24"/>
        <v>4</v>
      </c>
      <c r="W15">
        <f t="shared" si="25"/>
        <v>1.21694759301419E-05</v>
      </c>
      <c r="X15">
        <f t="shared" si="4"/>
        <v>6.419882357389236E-05</v>
      </c>
      <c r="Y15" s="19">
        <f t="shared" si="9"/>
        <v>0.0029960584560734813</v>
      </c>
      <c r="Z15">
        <f t="shared" si="10"/>
        <v>1.3182551785461368E-06</v>
      </c>
      <c r="AA15">
        <f t="shared" si="26"/>
        <v>4</v>
      </c>
      <c r="AB15">
        <f t="shared" si="11"/>
        <v>10</v>
      </c>
      <c r="AC15" s="13">
        <v>3.85002</v>
      </c>
      <c r="AD15" s="14">
        <v>909.65</v>
      </c>
      <c r="AE15" s="14">
        <v>-36.146</v>
      </c>
      <c r="AG15">
        <f t="shared" si="12"/>
        <v>0.7396590327071562</v>
      </c>
      <c r="AH15">
        <f t="shared" si="13"/>
        <v>5.491095952291896</v>
      </c>
      <c r="AI15">
        <f t="shared" si="14"/>
        <v>79.6758022677554</v>
      </c>
      <c r="AK15">
        <f t="shared" si="15"/>
        <v>0.00023985002466973322</v>
      </c>
      <c r="AN15">
        <v>0.00037188316876607473</v>
      </c>
      <c r="AO15">
        <v>6.37832070919434E-05</v>
      </c>
      <c r="AP15">
        <v>4.29948449162735E-05</v>
      </c>
      <c r="AQ15">
        <v>2.3401601019872303E-05</v>
      </c>
      <c r="AR15">
        <v>9.053169644190483E-05</v>
      </c>
      <c r="AU15">
        <v>150</v>
      </c>
      <c r="AV15">
        <f>((AU15+40)*5/9-40)+273.15</f>
        <v>338.7055555555555</v>
      </c>
      <c r="AW15">
        <f>$AS$6-($AT$6/(AV15+$AU$6))</f>
        <v>-1.6658465148555868</v>
      </c>
      <c r="AX15">
        <f t="shared" si="16"/>
        <v>0.021585071179938752</v>
      </c>
      <c r="AY15">
        <f t="shared" si="17"/>
        <v>0.3131993828209113</v>
      </c>
      <c r="AZ15">
        <f>((AY15-BB15)/AY15*100)^2</f>
        <v>0.0571089011948606</v>
      </c>
      <c r="BA15">
        <f>1/AV15*1000</f>
        <v>2.952416881263635</v>
      </c>
      <c r="BB15">
        <v>0.31245091557502747</v>
      </c>
      <c r="BC15">
        <v>119.9071711165497</v>
      </c>
      <c r="BD15">
        <v>60610.1694871382</v>
      </c>
      <c r="BE15">
        <f>1/AV15*1000</f>
        <v>2.952416881263635</v>
      </c>
      <c r="BF15">
        <f>$BD$5-($BE$5/(AV15+$BF$5))</f>
        <v>4.826371399848046</v>
      </c>
      <c r="BG15">
        <f>10^BF15</f>
        <v>67045.77261957875</v>
      </c>
      <c r="BH15">
        <f>((BG15-BD15)/BD15)^2</f>
        <v>0.01127424613388284</v>
      </c>
    </row>
    <row r="16" spans="1:60" ht="12.75">
      <c r="A16" s="8" t="s">
        <v>378</v>
      </c>
      <c r="B16" s="265">
        <f>B15-273.15</f>
        <v>55.45401679144965</v>
      </c>
      <c r="C16" s="5"/>
      <c r="D16" s="5"/>
      <c r="E16" s="15">
        <f t="shared" si="27"/>
        <v>5</v>
      </c>
      <c r="F16">
        <f t="shared" si="5"/>
        <v>1.9000000000000004</v>
      </c>
      <c r="G16">
        <f>'Input form'!N9/100</f>
        <v>7.570393902422978E-06</v>
      </c>
      <c r="H16">
        <f t="shared" si="6"/>
        <v>2.9731217493529885</v>
      </c>
      <c r="I16">
        <f t="shared" si="7"/>
        <v>71.4</v>
      </c>
      <c r="J16">
        <f t="shared" si="18"/>
        <v>27.251012220910276</v>
      </c>
      <c r="K16">
        <f t="shared" si="19"/>
        <v>0.04164036063519591</v>
      </c>
      <c r="L16">
        <f t="shared" si="1"/>
        <v>1.732090962101179E-05</v>
      </c>
      <c r="M16">
        <f t="shared" si="8"/>
        <v>1.4121079602418378</v>
      </c>
      <c r="N16">
        <f t="shared" si="28"/>
        <v>0.04198368889029493</v>
      </c>
      <c r="O16">
        <f t="shared" si="20"/>
        <v>1.7093413090812713E-05</v>
      </c>
      <c r="P16">
        <f t="shared" si="2"/>
        <v>0.00046581280903480493</v>
      </c>
      <c r="Q16">
        <f t="shared" si="3"/>
        <v>0.0419832048300519</v>
      </c>
      <c r="R16">
        <f t="shared" si="21"/>
        <v>-1.152972156161971E-05</v>
      </c>
      <c r="S16">
        <f t="shared" si="22"/>
        <v>2.9311385445229368</v>
      </c>
      <c r="T16">
        <f t="shared" si="23"/>
        <v>0.04105236056754813</v>
      </c>
      <c r="U16">
        <v>0.880501037499176</v>
      </c>
      <c r="V16">
        <f t="shared" si="24"/>
        <v>5</v>
      </c>
      <c r="W16">
        <f t="shared" si="25"/>
        <v>0.0005880000676477857</v>
      </c>
      <c r="X16">
        <f t="shared" si="4"/>
        <v>0.0031019341195177336</v>
      </c>
      <c r="Y16" s="19">
        <f t="shared" si="9"/>
        <v>0.17936716428640068</v>
      </c>
      <c r="Z16">
        <f t="shared" si="10"/>
        <v>7.892092115304315E-05</v>
      </c>
      <c r="AA16">
        <f t="shared" si="26"/>
        <v>5</v>
      </c>
      <c r="AB16">
        <f t="shared" si="11"/>
        <v>12</v>
      </c>
      <c r="AC16" s="13">
        <v>3.9892</v>
      </c>
      <c r="AD16" s="14">
        <v>1070.617</v>
      </c>
      <c r="AE16" s="14">
        <v>-40.454</v>
      </c>
      <c r="AG16">
        <f t="shared" si="12"/>
        <v>0.27371522605717624</v>
      </c>
      <c r="AH16">
        <f t="shared" si="13"/>
        <v>1.8780849221854083</v>
      </c>
      <c r="AI16">
        <f t="shared" si="14"/>
        <v>27.251012220910276</v>
      </c>
      <c r="AK16">
        <f t="shared" si="15"/>
        <v>0.032987433886353855</v>
      </c>
      <c r="AN16">
        <v>0.02138889570039716</v>
      </c>
      <c r="AO16">
        <v>0.0023813799131562692</v>
      </c>
      <c r="AP16">
        <v>0.001465890341638611</v>
      </c>
      <c r="AQ16">
        <v>0.0006948611890666437</v>
      </c>
      <c r="AR16">
        <v>0.0036684732011353235</v>
      </c>
      <c r="AU16">
        <v>180</v>
      </c>
      <c r="AV16">
        <f>((AU16+40)*5/9-40)+273.15</f>
        <v>355.3722222222222</v>
      </c>
      <c r="AW16">
        <f>$AS$6-($AT$6/(AV16+$AU$6))</f>
        <v>-1.3658388079413148</v>
      </c>
      <c r="AX16">
        <f t="shared" si="16"/>
        <v>0.04306864337311894</v>
      </c>
      <c r="AY16">
        <f t="shared" si="17"/>
        <v>0.6249260153439559</v>
      </c>
      <c r="AZ16">
        <f>((AY16-BB16)/AY16*100)^2</f>
        <v>0.33491959478566646</v>
      </c>
      <c r="BA16">
        <f>1/AV16*1000</f>
        <v>2.8139509434552195</v>
      </c>
      <c r="BB16">
        <v>0.6285426020622253</v>
      </c>
      <c r="BC16">
        <v>122.41587868868422</v>
      </c>
      <c r="BD16">
        <v>124565.25019636254</v>
      </c>
      <c r="BE16">
        <f>1/AV16*1000</f>
        <v>2.8139509434552195</v>
      </c>
      <c r="BF16">
        <f>$BD$5-($BE$5/(AV16+$BF$5))</f>
        <v>5.119573046627034</v>
      </c>
      <c r="BG16">
        <f>10^BF16</f>
        <v>131696.14018323584</v>
      </c>
      <c r="BH16">
        <f>((BG16-BD16)/BD16)^2</f>
        <v>0.0032771299522504935</v>
      </c>
    </row>
    <row r="17" spans="1:52" ht="12.75">
      <c r="A17" s="8"/>
      <c r="B17" s="8"/>
      <c r="C17" s="5"/>
      <c r="D17" s="5"/>
      <c r="E17" s="15">
        <f t="shared" si="27"/>
        <v>6</v>
      </c>
      <c r="F17">
        <f t="shared" si="5"/>
        <v>1.8750000000000004</v>
      </c>
      <c r="G17">
        <f>'Input form'!N10/100</f>
        <v>0.0003052969273099615</v>
      </c>
      <c r="H17">
        <f t="shared" si="6"/>
        <v>119.89930065665031</v>
      </c>
      <c r="I17">
        <f t="shared" si="7"/>
        <v>85.125</v>
      </c>
      <c r="J17">
        <f t="shared" si="18"/>
        <v>9.497307112314761</v>
      </c>
      <c r="K17">
        <f t="shared" si="19"/>
        <v>1.408508671443763</v>
      </c>
      <c r="L17">
        <f t="shared" si="1"/>
        <v>0.000585889531846847</v>
      </c>
      <c r="M17">
        <f t="shared" si="8"/>
        <v>0.49670691773768616</v>
      </c>
      <c r="N17">
        <f t="shared" si="28"/>
        <v>0.5955481206806891</v>
      </c>
      <c r="O17">
        <f t="shared" si="20"/>
        <v>0.00058356294096152</v>
      </c>
      <c r="P17">
        <f t="shared" si="2"/>
        <v>0.005542276469677163</v>
      </c>
      <c r="Q17">
        <f t="shared" si="3"/>
        <v>0.5955404441648912</v>
      </c>
      <c r="R17">
        <f t="shared" si="21"/>
        <v>-1.2889832964534295E-05</v>
      </c>
      <c r="S17">
        <f t="shared" si="22"/>
        <v>119.30376021248541</v>
      </c>
      <c r="T17">
        <f t="shared" si="23"/>
        <v>1.4015126016151003</v>
      </c>
      <c r="U17">
        <v>0.40326730653579274</v>
      </c>
      <c r="V17">
        <f t="shared" si="24"/>
        <v>6</v>
      </c>
      <c r="W17">
        <f t="shared" si="25"/>
        <v>0.006996069828662451</v>
      </c>
      <c r="X17">
        <f t="shared" si="4"/>
        <v>0.03690704967240894</v>
      </c>
      <c r="Y17" s="19">
        <f t="shared" si="9"/>
        <v>2.5443637857006784</v>
      </c>
      <c r="Z17">
        <f t="shared" si="10"/>
        <v>0.0011195111129443562</v>
      </c>
      <c r="AA17">
        <f t="shared" si="26"/>
        <v>6</v>
      </c>
      <c r="AB17">
        <f t="shared" si="11"/>
        <v>14</v>
      </c>
      <c r="AC17" s="13">
        <v>4.00266</v>
      </c>
      <c r="AD17" s="14">
        <v>1171.53</v>
      </c>
      <c r="AE17" s="14">
        <v>-48.784</v>
      </c>
      <c r="AG17">
        <f t="shared" si="12"/>
        <v>-0.18406693052242762</v>
      </c>
      <c r="AH17">
        <f t="shared" si="13"/>
        <v>0.6545352937501558</v>
      </c>
      <c r="AI17">
        <f t="shared" si="14"/>
        <v>9.497307112314761</v>
      </c>
      <c r="AK17">
        <f t="shared" si="15"/>
        <v>1.1158185464497388</v>
      </c>
      <c r="AN17">
        <v>0.29296929896921997</v>
      </c>
      <c r="AO17">
        <v>0.02259032419551287</v>
      </c>
      <c r="AP17">
        <v>0.012828749386411082</v>
      </c>
      <c r="AQ17">
        <v>0.00536104915900217</v>
      </c>
      <c r="AR17">
        <v>0.03737217089374327</v>
      </c>
      <c r="AZ17" t="s">
        <v>316</v>
      </c>
    </row>
    <row r="18" spans="1:53" ht="12.75">
      <c r="A18" s="8"/>
      <c r="B18" s="8"/>
      <c r="C18" s="5"/>
      <c r="D18" s="5"/>
      <c r="E18" s="15">
        <f t="shared" si="27"/>
        <v>7</v>
      </c>
      <c r="F18">
        <f t="shared" si="5"/>
        <v>1.8500000000000005</v>
      </c>
      <c r="G18">
        <f>'Input form'!N11/100</f>
        <v>0.0036869385235877017</v>
      </c>
      <c r="H18">
        <f t="shared" si="6"/>
        <v>1447.9718300388026</v>
      </c>
      <c r="I18">
        <f t="shared" si="7"/>
        <v>98.8</v>
      </c>
      <c r="J18">
        <f t="shared" si="18"/>
        <v>3.410508571292014</v>
      </c>
      <c r="K18">
        <f t="shared" si="19"/>
        <v>14.655585324279379</v>
      </c>
      <c r="L18">
        <f t="shared" si="1"/>
        <v>0.006096202457725798</v>
      </c>
      <c r="M18">
        <f t="shared" si="8"/>
        <v>0.17893857042939776</v>
      </c>
      <c r="N18">
        <f t="shared" si="28"/>
        <v>2.5909800928918223</v>
      </c>
      <c r="O18">
        <f t="shared" si="20"/>
        <v>0.006091385385673904</v>
      </c>
      <c r="P18">
        <f t="shared" si="2"/>
        <v>0.02077472206888376</v>
      </c>
      <c r="Q18">
        <f t="shared" si="3"/>
        <v>2.590944536517331</v>
      </c>
      <c r="R18">
        <f t="shared" si="21"/>
        <v>-1.3723136888979192E-05</v>
      </c>
      <c r="S18">
        <f t="shared" si="22"/>
        <v>1445.3808855022853</v>
      </c>
      <c r="T18">
        <f t="shared" si="23"/>
        <v>14.629361189294386</v>
      </c>
      <c r="U18">
        <v>0.16461451708450117</v>
      </c>
      <c r="V18">
        <f t="shared" si="24"/>
        <v>7</v>
      </c>
      <c r="W18">
        <f t="shared" si="25"/>
        <v>0.02622413498499323</v>
      </c>
      <c r="X18">
        <f t="shared" si="4"/>
        <v>0.13834273759559407</v>
      </c>
      <c r="Y18" s="19">
        <f t="shared" si="9"/>
        <v>11.069459694189737</v>
      </c>
      <c r="Z18">
        <f t="shared" si="10"/>
        <v>0.004870523315722471</v>
      </c>
      <c r="AA18">
        <f t="shared" si="26"/>
        <v>7</v>
      </c>
      <c r="AB18">
        <f t="shared" si="11"/>
        <v>16</v>
      </c>
      <c r="AC18" s="13">
        <v>4.02832</v>
      </c>
      <c r="AD18" s="14">
        <v>1268.636</v>
      </c>
      <c r="AE18" s="14">
        <v>-56.199</v>
      </c>
      <c r="AG18">
        <f t="shared" si="12"/>
        <v>-0.628848267100067</v>
      </c>
      <c r="AH18">
        <f t="shared" si="13"/>
        <v>0.23504538740813327</v>
      </c>
      <c r="AI18">
        <f t="shared" si="14"/>
        <v>3.410508571292014</v>
      </c>
      <c r="AK18">
        <f t="shared" si="15"/>
        <v>11.610133643795931</v>
      </c>
      <c r="AN18">
        <v>1.3021753562173464</v>
      </c>
      <c r="AO18">
        <v>0.07007280433013825</v>
      </c>
      <c r="AP18">
        <v>0.036670498443527065</v>
      </c>
      <c r="AQ18">
        <v>0.013465922721596123</v>
      </c>
      <c r="AR18">
        <v>0.12452240778267319</v>
      </c>
      <c r="AT18">
        <v>0.05</v>
      </c>
      <c r="AY18" t="s">
        <v>317</v>
      </c>
      <c r="AZ18">
        <v>6.895</v>
      </c>
      <c r="BA18" t="s">
        <v>318</v>
      </c>
    </row>
    <row r="19" spans="1:53" ht="12.75">
      <c r="A19" s="8"/>
      <c r="B19" s="8"/>
      <c r="C19" s="5"/>
      <c r="D19" s="5"/>
      <c r="E19" s="15">
        <f t="shared" si="27"/>
        <v>8</v>
      </c>
      <c r="F19">
        <f t="shared" si="5"/>
        <v>1.8250000000000006</v>
      </c>
      <c r="G19">
        <f>'Input form'!N12/100</f>
        <v>0.021521331474805283</v>
      </c>
      <c r="H19">
        <f t="shared" si="6"/>
        <v>8452.075216627687</v>
      </c>
      <c r="I19">
        <f t="shared" si="7"/>
        <v>112.42500000000001</v>
      </c>
      <c r="J19">
        <f t="shared" si="18"/>
        <v>1.2476565353635656</v>
      </c>
      <c r="K19">
        <f t="shared" si="19"/>
        <v>75.17967726597898</v>
      </c>
      <c r="L19">
        <f t="shared" si="1"/>
        <v>0.031272072945502</v>
      </c>
      <c r="M19">
        <f t="shared" si="8"/>
        <v>0.06553494199452192</v>
      </c>
      <c r="N19">
        <f t="shared" si="28"/>
        <v>5.539062590550318</v>
      </c>
      <c r="O19">
        <f t="shared" si="20"/>
        <v>0.0312828616727756</v>
      </c>
      <c r="P19">
        <f t="shared" si="2"/>
        <v>0.03903026681091288</v>
      </c>
      <c r="Q19">
        <f t="shared" si="3"/>
        <v>5.5389872531816104</v>
      </c>
      <c r="R19">
        <f t="shared" si="21"/>
        <v>-1.3601104424498163E-05</v>
      </c>
      <c r="S19">
        <f t="shared" si="22"/>
        <v>8446.536229374506</v>
      </c>
      <c r="T19">
        <f t="shared" si="23"/>
        <v>75.13040897820329</v>
      </c>
      <c r="U19">
        <v>0.06347696600711279</v>
      </c>
      <c r="V19">
        <f t="shared" si="24"/>
        <v>8</v>
      </c>
      <c r="W19">
        <f t="shared" si="25"/>
        <v>0.04926828777568699</v>
      </c>
      <c r="X19">
        <f t="shared" si="4"/>
        <v>0.2599098048967673</v>
      </c>
      <c r="Y19" s="19">
        <f t="shared" si="9"/>
        <v>23.664570120744234</v>
      </c>
      <c r="Z19">
        <f t="shared" si="10"/>
        <v>0.010412327585431515</v>
      </c>
      <c r="AA19">
        <f t="shared" si="26"/>
        <v>8</v>
      </c>
      <c r="AB19">
        <f t="shared" si="11"/>
        <v>18</v>
      </c>
      <c r="AC19" s="13">
        <v>4.04867</v>
      </c>
      <c r="AD19" s="14">
        <v>1355.126</v>
      </c>
      <c r="AE19" s="14">
        <v>-63.633</v>
      </c>
      <c r="AG19">
        <f t="shared" si="12"/>
        <v>-1.0655723666154282</v>
      </c>
      <c r="AH19">
        <f t="shared" si="13"/>
        <v>0.08598597762671024</v>
      </c>
      <c r="AI19">
        <f t="shared" si="14"/>
        <v>1.2476565353635656</v>
      </c>
      <c r="AK19">
        <f t="shared" si="15"/>
        <v>59.55723234809667</v>
      </c>
      <c r="AN19">
        <v>2.9482650445221523</v>
      </c>
      <c r="AO19">
        <v>0.11110834307185986</v>
      </c>
      <c r="AP19">
        <v>0.05347250617876958</v>
      </c>
      <c r="AQ19">
        <v>0.017171141493330867</v>
      </c>
      <c r="AR19">
        <v>0.21231103989625488</v>
      </c>
      <c r="AT19">
        <f>1/AV19*1000</f>
        <v>3.463736602074394</v>
      </c>
      <c r="AU19">
        <f>((AV19-273.15)+40)*9/5-40</f>
        <v>59.99999999999997</v>
      </c>
      <c r="AV19">
        <f>AV12</f>
        <v>288.7055555555555</v>
      </c>
      <c r="AW19">
        <f aca="true" t="shared" si="29" ref="AW19:AW39">$AS$6-($AT$6/(AV19+$AU$6))</f>
        <v>-2.7985245006332997</v>
      </c>
      <c r="AX19">
        <f t="shared" si="16"/>
        <v>0.001590286965581789</v>
      </c>
      <c r="AY19">
        <f t="shared" si="17"/>
        <v>0.023075063870591758</v>
      </c>
      <c r="BA19">
        <f aca="true" t="shared" si="30" ref="BA19:BA37">AY19*$AZ$18</f>
        <v>0.15910256538773015</v>
      </c>
    </row>
    <row r="20" spans="1:53" ht="12.75">
      <c r="A20" s="5"/>
      <c r="B20" s="5"/>
      <c r="C20" s="5"/>
      <c r="D20" s="5"/>
      <c r="E20" s="16">
        <f t="shared" si="27"/>
        <v>9</v>
      </c>
      <c r="F20">
        <f t="shared" si="5"/>
        <v>1.8000000000000007</v>
      </c>
      <c r="G20">
        <f>'Input form'!N13/100</f>
        <v>0.06560421645474712</v>
      </c>
      <c r="H20">
        <f t="shared" si="6"/>
        <v>25764.752178673614</v>
      </c>
      <c r="I20">
        <f t="shared" si="7"/>
        <v>126</v>
      </c>
      <c r="J20">
        <f t="shared" si="18"/>
        <v>0.46114309922728364</v>
      </c>
      <c r="K20">
        <f t="shared" si="19"/>
        <v>204.4821601482033</v>
      </c>
      <c r="L20">
        <f t="shared" si="1"/>
        <v>0.08505730884671106</v>
      </c>
      <c r="M20">
        <f t="shared" si="8"/>
        <v>0.02423219858022052</v>
      </c>
      <c r="N20">
        <f t="shared" si="28"/>
        <v>6.243365911637883</v>
      </c>
      <c r="O20">
        <f t="shared" si="20"/>
        <v>0.08512181941140415</v>
      </c>
      <c r="P20">
        <f t="shared" si="2"/>
        <v>0.03925333961524006</v>
      </c>
      <c r="Q20">
        <f t="shared" si="3"/>
        <v>6.243284219728698</v>
      </c>
      <c r="R20">
        <f t="shared" si="21"/>
        <v>-1.3084594166194295E-05</v>
      </c>
      <c r="S20">
        <f t="shared" si="22"/>
        <v>25758.508894453884</v>
      </c>
      <c r="T20">
        <f t="shared" si="23"/>
        <v>204.43261027344352</v>
      </c>
      <c r="U20">
        <v>0.0239432573379601</v>
      </c>
      <c r="V20">
        <f t="shared" si="24"/>
        <v>9</v>
      </c>
      <c r="W20">
        <f t="shared" si="25"/>
        <v>0.049549874759751575</v>
      </c>
      <c r="X20">
        <f t="shared" si="4"/>
        <v>0.2613952881841693</v>
      </c>
      <c r="Y20" s="19">
        <f t="shared" si="9"/>
        <v>26.67356939736981</v>
      </c>
      <c r="Z20">
        <f t="shared" si="10"/>
        <v>0.011736276679486162</v>
      </c>
      <c r="AA20">
        <f t="shared" si="26"/>
        <v>9</v>
      </c>
      <c r="AB20">
        <f t="shared" si="11"/>
        <v>20</v>
      </c>
      <c r="AC20" s="13">
        <v>4.06245</v>
      </c>
      <c r="AD20" s="14">
        <v>1430.377</v>
      </c>
      <c r="AE20" s="14">
        <v>-71.355</v>
      </c>
      <c r="AG20">
        <f t="shared" si="12"/>
        <v>-1.4978316984120834</v>
      </c>
      <c r="AH20">
        <f t="shared" si="13"/>
        <v>0.031781054391956144</v>
      </c>
      <c r="AI20">
        <f t="shared" si="14"/>
        <v>0.46114309922728364</v>
      </c>
      <c r="AK20">
        <f t="shared" si="15"/>
        <v>161.9904735677595</v>
      </c>
      <c r="AN20">
        <v>3.666519670855603</v>
      </c>
      <c r="AO20">
        <v>0.09637153800703091</v>
      </c>
      <c r="AP20">
        <v>0.04249098426217938</v>
      </c>
      <c r="AQ20">
        <v>0.011839219411750687</v>
      </c>
      <c r="AR20">
        <v>0.19852277891928719</v>
      </c>
      <c r="AT20">
        <f>AT19-$AT$18</f>
        <v>3.413736602074394</v>
      </c>
      <c r="AU20">
        <f aca="true" t="shared" si="31" ref="AU20:AU37">((AV20-263)+40)*9/5</f>
        <v>125.88145425930357</v>
      </c>
      <c r="AV20">
        <f aca="true" t="shared" si="32" ref="AV20:AV37">1/AT20*1000</f>
        <v>292.93414125516864</v>
      </c>
      <c r="AW20">
        <f t="shared" si="29"/>
        <v>-2.6860051922984027</v>
      </c>
      <c r="AX20">
        <f t="shared" si="16"/>
        <v>0.002060605277125876</v>
      </c>
      <c r="AY20">
        <f t="shared" si="17"/>
        <v>0.029899382571096464</v>
      </c>
      <c r="BA20">
        <f t="shared" si="30"/>
        <v>0.2061562428277101</v>
      </c>
    </row>
    <row r="21" spans="1:53" ht="12.75">
      <c r="A21" s="5" t="s">
        <v>30</v>
      </c>
      <c r="B21" s="266">
        <f>0.0083454*B22</f>
        <v>6.5549799830387006</v>
      </c>
      <c r="C21" s="5" t="s">
        <v>383</v>
      </c>
      <c r="D21" s="5"/>
      <c r="E21" s="16">
        <f t="shared" si="27"/>
        <v>10</v>
      </c>
      <c r="F21">
        <f t="shared" si="5"/>
        <v>1.7750000000000008</v>
      </c>
      <c r="G21">
        <f>'Input form'!N14/100</f>
        <v>0.13185399194180947</v>
      </c>
      <c r="H21">
        <f t="shared" si="6"/>
        <v>51783.034837294035</v>
      </c>
      <c r="I21">
        <f t="shared" si="7"/>
        <v>139.525</v>
      </c>
      <c r="J21">
        <f t="shared" si="18"/>
        <v>0.171230079508513</v>
      </c>
      <c r="K21">
        <f t="shared" si="19"/>
        <v>371.13803861167554</v>
      </c>
      <c r="L21">
        <f t="shared" si="1"/>
        <v>0.1543802293171991</v>
      </c>
      <c r="M21">
        <f t="shared" si="8"/>
        <v>0.008999182742638556</v>
      </c>
      <c r="N21">
        <f t="shared" si="28"/>
        <v>4.660049934692276</v>
      </c>
      <c r="O21">
        <f t="shared" si="20"/>
        <v>0.15452085721776468</v>
      </c>
      <c r="P21">
        <f t="shared" si="2"/>
        <v>0.02645861866712143</v>
      </c>
      <c r="Q21">
        <f t="shared" si="3"/>
        <v>4.659991748000014</v>
      </c>
      <c r="R21">
        <f t="shared" si="21"/>
        <v>-1.2486280850656601E-05</v>
      </c>
      <c r="S21">
        <f t="shared" si="22"/>
        <v>51778.37484554604</v>
      </c>
      <c r="T21">
        <f t="shared" si="23"/>
        <v>371.10463963838765</v>
      </c>
      <c r="U21">
        <v>0.008958931403491216</v>
      </c>
      <c r="V21">
        <f t="shared" si="24"/>
        <v>10</v>
      </c>
      <c r="W21">
        <f t="shared" si="25"/>
        <v>0.03339897328794133</v>
      </c>
      <c r="X21">
        <f t="shared" si="4"/>
        <v>0.17619286204025447</v>
      </c>
      <c r="Y21" s="19">
        <f t="shared" si="9"/>
        <v>19.909159111837837</v>
      </c>
      <c r="Z21">
        <f t="shared" si="10"/>
        <v>0.008759959955546189</v>
      </c>
      <c r="AA21">
        <f t="shared" si="26"/>
        <v>10</v>
      </c>
      <c r="AB21">
        <f t="shared" si="11"/>
        <v>22</v>
      </c>
      <c r="AC21" s="13">
        <v>4.07857</v>
      </c>
      <c r="AD21" s="14">
        <v>1501.268</v>
      </c>
      <c r="AE21" s="14">
        <v>-78.67</v>
      </c>
      <c r="AG21">
        <f t="shared" si="12"/>
        <v>-1.928087354099545</v>
      </c>
      <c r="AH21">
        <f t="shared" si="13"/>
        <v>0.01180083249541785</v>
      </c>
      <c r="AI21">
        <f t="shared" si="14"/>
        <v>0.171230079508513</v>
      </c>
      <c r="AK21">
        <f t="shared" si="15"/>
        <v>294.01502111548865</v>
      </c>
      <c r="AN21">
        <v>3.1303779657761472</v>
      </c>
      <c r="AO21">
        <v>0.05694412105953213</v>
      </c>
      <c r="AP21">
        <v>0.0229137864348166</v>
      </c>
      <c r="AQ21">
        <v>0.005498444857012976</v>
      </c>
      <c r="AR21">
        <v>0.12680891753710102</v>
      </c>
      <c r="AT21">
        <f aca="true" t="shared" si="33" ref="AT21:AT37">AT20-$AT$18</f>
        <v>3.363736602074394</v>
      </c>
      <c r="AU21">
        <f t="shared" si="31"/>
        <v>133.71918825331096</v>
      </c>
      <c r="AV21">
        <f t="shared" si="32"/>
        <v>297.2884379185061</v>
      </c>
      <c r="AW21">
        <f t="shared" si="29"/>
        <v>-2.573872584546539</v>
      </c>
      <c r="AX21">
        <f t="shared" si="16"/>
        <v>0.0026676411954332127</v>
      </c>
      <c r="AY21">
        <f t="shared" si="17"/>
        <v>0.03870747374573592</v>
      </c>
      <c r="BA21">
        <f t="shared" si="30"/>
        <v>0.26688803147684914</v>
      </c>
    </row>
    <row r="22" spans="1:53" ht="12.75">
      <c r="A22" s="5" t="s">
        <v>30</v>
      </c>
      <c r="B22" s="5">
        <f>D4</f>
        <v>785.4602515204425</v>
      </c>
      <c r="C22" s="5" t="s">
        <v>382</v>
      </c>
      <c r="D22" s="5"/>
      <c r="E22" s="16">
        <f t="shared" si="27"/>
        <v>11</v>
      </c>
      <c r="F22">
        <f t="shared" si="5"/>
        <v>1.7500000000000009</v>
      </c>
      <c r="G22">
        <f>'Input form'!N15/100</f>
        <v>0.1863909772982213</v>
      </c>
      <c r="H22">
        <f t="shared" si="6"/>
        <v>73201.351954901</v>
      </c>
      <c r="I22">
        <f t="shared" si="7"/>
        <v>153</v>
      </c>
      <c r="J22">
        <f t="shared" si="18"/>
        <v>0.06380580730678824</v>
      </c>
      <c r="K22">
        <f t="shared" si="19"/>
        <v>478.44020885556205</v>
      </c>
      <c r="L22">
        <f t="shared" si="1"/>
        <v>0.19901411731868413</v>
      </c>
      <c r="M22">
        <f t="shared" si="8"/>
        <v>0.0033535710342589287</v>
      </c>
      <c r="N22">
        <f t="shared" si="28"/>
        <v>2.4548593358454918</v>
      </c>
      <c r="O22">
        <f t="shared" si="20"/>
        <v>0.1992066498917518</v>
      </c>
      <c r="P22">
        <f t="shared" si="2"/>
        <v>0.012710541117223943</v>
      </c>
      <c r="Q22">
        <f t="shared" si="3"/>
        <v>2.4548299884557463</v>
      </c>
      <c r="R22">
        <f t="shared" si="21"/>
        <v>-1.1954815217696912E-05</v>
      </c>
      <c r="S22">
        <f t="shared" si="22"/>
        <v>73198.89712491253</v>
      </c>
      <c r="T22">
        <f t="shared" si="23"/>
        <v>478.42416421511456</v>
      </c>
      <c r="U22">
        <v>0.003347960355292334</v>
      </c>
      <c r="V22">
        <f t="shared" si="24"/>
        <v>11</v>
      </c>
      <c r="W22">
        <f t="shared" si="25"/>
        <v>0.016044640447423177</v>
      </c>
      <c r="X22">
        <f t="shared" si="4"/>
        <v>0.08464185699561569</v>
      </c>
      <c r="Y22" s="19">
        <f t="shared" si="9"/>
        <v>10.487910172523899</v>
      </c>
      <c r="Z22">
        <f t="shared" si="10"/>
        <v>0.004614643572467481</v>
      </c>
      <c r="AA22">
        <f t="shared" si="26"/>
        <v>11</v>
      </c>
      <c r="AB22">
        <f t="shared" si="11"/>
        <v>24</v>
      </c>
      <c r="AC22" s="13">
        <v>4.10164</v>
      </c>
      <c r="AD22" s="14">
        <v>1572.477</v>
      </c>
      <c r="AE22" s="14">
        <v>-85.128</v>
      </c>
      <c r="AG22">
        <f t="shared" si="12"/>
        <v>-2.3568072044608472</v>
      </c>
      <c r="AH22">
        <f t="shared" si="13"/>
        <v>0.004397367836443022</v>
      </c>
      <c r="AI22">
        <f t="shared" si="14"/>
        <v>0.06380580730678824</v>
      </c>
      <c r="AK22">
        <f t="shared" si="15"/>
        <v>379.0196462625312</v>
      </c>
      <c r="AN22">
        <v>1.9398233922840165</v>
      </c>
      <c r="AO22">
        <v>0.02426331628221851</v>
      </c>
      <c r="AP22">
        <v>0.008886034692408968</v>
      </c>
      <c r="AQ22">
        <v>0.001826752154349363</v>
      </c>
      <c r="AR22">
        <v>0.05852912356381678</v>
      </c>
      <c r="AT22">
        <f t="shared" si="33"/>
        <v>3.3137366020743944</v>
      </c>
      <c r="AU22">
        <f t="shared" si="31"/>
        <v>141.79344478773675</v>
      </c>
      <c r="AV22">
        <f t="shared" si="32"/>
        <v>301.7741359931871</v>
      </c>
      <c r="AW22">
        <f t="shared" si="29"/>
        <v>-2.4621246873083242</v>
      </c>
      <c r="AX22">
        <f t="shared" si="16"/>
        <v>0.003450446617088569</v>
      </c>
      <c r="AY22">
        <f t="shared" si="17"/>
        <v>0.05006598041395513</v>
      </c>
      <c r="BA22">
        <f t="shared" si="30"/>
        <v>0.3452049349542206</v>
      </c>
    </row>
    <row r="23" spans="1:53" ht="12.75">
      <c r="A23" s="5" t="s">
        <v>31</v>
      </c>
      <c r="B23" s="5">
        <f>1/B22</f>
        <v>0.0012731388992177077</v>
      </c>
      <c r="C23" s="5" t="s">
        <v>32</v>
      </c>
      <c r="D23" s="5"/>
      <c r="E23" s="16">
        <f t="shared" si="27"/>
        <v>12</v>
      </c>
      <c r="F23">
        <f t="shared" si="5"/>
        <v>1.725000000000001</v>
      </c>
      <c r="G23">
        <f>'Input form'!N16/100</f>
        <v>0.18604845691812888</v>
      </c>
      <c r="H23">
        <f t="shared" si="6"/>
        <v>73066.83388295186</v>
      </c>
      <c r="I23">
        <f t="shared" si="7"/>
        <v>166.425</v>
      </c>
      <c r="J23">
        <f t="shared" si="18"/>
        <v>0.023483634332385605</v>
      </c>
      <c r="K23">
        <f t="shared" si="19"/>
        <v>439.0376078290633</v>
      </c>
      <c r="L23">
        <f t="shared" si="1"/>
        <v>0.18262403613778513</v>
      </c>
      <c r="M23">
        <f t="shared" si="8"/>
        <v>0.0012343022003036275</v>
      </c>
      <c r="N23">
        <f t="shared" si="28"/>
        <v>0.9018655383094711</v>
      </c>
      <c r="O23">
        <f t="shared" si="20"/>
        <v>0.1828045865946074</v>
      </c>
      <c r="P23">
        <f t="shared" si="2"/>
        <v>0.0042929160658706795</v>
      </c>
      <c r="Q23">
        <f t="shared" si="3"/>
        <v>0.9018554047143865</v>
      </c>
      <c r="R23">
        <f t="shared" si="21"/>
        <v>-1.1236259347054326E-05</v>
      </c>
      <c r="S23">
        <f t="shared" si="22"/>
        <v>73065.93202754714</v>
      </c>
      <c r="T23">
        <f t="shared" si="23"/>
        <v>439.0321888390995</v>
      </c>
      <c r="U23">
        <v>0.0012335410755835883</v>
      </c>
      <c r="V23">
        <f t="shared" si="24"/>
        <v>12</v>
      </c>
      <c r="W23">
        <f t="shared" si="25"/>
        <v>0.0054189899637337325</v>
      </c>
      <c r="X23">
        <f t="shared" si="4"/>
        <v>0.02858732640809609</v>
      </c>
      <c r="Y23" s="19">
        <f t="shared" si="9"/>
        <v>3.8530455148164022</v>
      </c>
      <c r="Z23">
        <f t="shared" si="10"/>
        <v>0.001695326468942605</v>
      </c>
      <c r="AA23">
        <f t="shared" si="26"/>
        <v>12</v>
      </c>
      <c r="AB23">
        <f t="shared" si="11"/>
        <v>26</v>
      </c>
      <c r="AC23" s="13">
        <v>4.10549</v>
      </c>
      <c r="AD23" s="14">
        <v>1625.928</v>
      </c>
      <c r="AE23" s="14">
        <v>-92.839</v>
      </c>
      <c r="AG23">
        <f t="shared" si="12"/>
        <v>-2.7909021031517804</v>
      </c>
      <c r="AH23">
        <f t="shared" si="13"/>
        <v>0.0016184448195992835</v>
      </c>
      <c r="AI23">
        <f t="shared" si="14"/>
        <v>0.023483634332385605</v>
      </c>
      <c r="AK23">
        <f t="shared" si="15"/>
        <v>347.80496232405017</v>
      </c>
      <c r="AN23">
        <v>0.8763879250191675</v>
      </c>
      <c r="AO23">
        <v>0.007403718230730178</v>
      </c>
      <c r="AP23">
        <v>0.002446664647798002</v>
      </c>
      <c r="AQ23">
        <v>0.0004235787264991294</v>
      </c>
      <c r="AR23">
        <v>0.019465419391477966</v>
      </c>
      <c r="AT23">
        <f t="shared" si="33"/>
        <v>3.2637366020743945</v>
      </c>
      <c r="AU23">
        <f t="shared" si="31"/>
        <v>150.11509434184734</v>
      </c>
      <c r="AV23">
        <f t="shared" si="32"/>
        <v>306.39727463435963</v>
      </c>
      <c r="AW23">
        <f t="shared" si="29"/>
        <v>-2.350759524146257</v>
      </c>
      <c r="AX23">
        <f t="shared" si="16"/>
        <v>0.004459030837765178</v>
      </c>
      <c r="AY23">
        <f t="shared" si="17"/>
        <v>0.06470053745597272</v>
      </c>
      <c r="BA23">
        <f t="shared" si="30"/>
        <v>0.4461102057589319</v>
      </c>
    </row>
    <row r="24" spans="4:53" ht="12.75">
      <c r="D24" s="5"/>
      <c r="E24" s="16">
        <f t="shared" si="27"/>
        <v>13</v>
      </c>
      <c r="F24">
        <f t="shared" si="5"/>
        <v>1.700000000000001</v>
      </c>
      <c r="G24">
        <f>'Input form'!N17/100</f>
        <v>0.15731077838874463</v>
      </c>
      <c r="H24">
        <f t="shared" si="6"/>
        <v>61780.68178004998</v>
      </c>
      <c r="I24">
        <f t="shared" si="7"/>
        <v>179.8</v>
      </c>
      <c r="J24">
        <f t="shared" si="18"/>
        <v>0.008663635266914856</v>
      </c>
      <c r="K24">
        <f t="shared" si="19"/>
        <v>343.6077963295327</v>
      </c>
      <c r="L24">
        <f t="shared" si="1"/>
        <v>0.1429286272863919</v>
      </c>
      <c r="M24">
        <f t="shared" si="8"/>
        <v>0.0004553648466092408</v>
      </c>
      <c r="N24">
        <f t="shared" si="28"/>
        <v>0.2813275068218678</v>
      </c>
      <c r="O24">
        <f t="shared" si="20"/>
        <v>0.14307104748928876</v>
      </c>
      <c r="P24">
        <f t="shared" si="2"/>
        <v>0.0012395153727026522</v>
      </c>
      <c r="Q24">
        <f t="shared" si="3"/>
        <v>0.2813244989695892</v>
      </c>
      <c r="R24">
        <f t="shared" si="21"/>
        <v>-1.0691639479408901E-05</v>
      </c>
      <c r="S24">
        <f t="shared" si="22"/>
        <v>61780.40045555101</v>
      </c>
      <c r="T24">
        <f t="shared" si="23"/>
        <v>343.60623167714687</v>
      </c>
      <c r="U24">
        <v>0.00045526119950104653</v>
      </c>
      <c r="V24">
        <f t="shared" si="24"/>
        <v>13</v>
      </c>
      <c r="W24">
        <f t="shared" si="25"/>
        <v>0.0015646523858152902</v>
      </c>
      <c r="X24">
        <f t="shared" si="4"/>
        <v>0.008254163371376529</v>
      </c>
      <c r="Y24" s="19">
        <f t="shared" si="9"/>
        <v>1.2019171842249945</v>
      </c>
      <c r="Z24">
        <f t="shared" si="10"/>
        <v>0.0005288393319150014</v>
      </c>
      <c r="AA24">
        <f t="shared" si="26"/>
        <v>13</v>
      </c>
      <c r="AB24">
        <f t="shared" si="11"/>
        <v>28</v>
      </c>
      <c r="AC24" s="13">
        <v>4.12829</v>
      </c>
      <c r="AD24" s="14">
        <v>1689.093</v>
      </c>
      <c r="AE24" s="14">
        <v>-98.866</v>
      </c>
      <c r="AG24">
        <f t="shared" si="12"/>
        <v>-3.223967251934564</v>
      </c>
      <c r="AH24">
        <f t="shared" si="13"/>
        <v>0.0005970803078507827</v>
      </c>
      <c r="AI24">
        <f t="shared" si="14"/>
        <v>0.008663635266914856</v>
      </c>
      <c r="AK24">
        <f t="shared" si="15"/>
        <v>272.2056027217899</v>
      </c>
      <c r="AN24">
        <v>0.34473501911632753</v>
      </c>
      <c r="AO24">
        <v>0.0019571142919244913</v>
      </c>
      <c r="AP24">
        <v>0.0005830061784407832</v>
      </c>
      <c r="AQ24">
        <v>8.486004757619576E-05</v>
      </c>
      <c r="AR24">
        <v>0.005613186591174176</v>
      </c>
      <c r="AT24">
        <f t="shared" si="33"/>
        <v>3.2137366020743947</v>
      </c>
      <c r="AU24">
        <f t="shared" si="31"/>
        <v>158.69568389585518</v>
      </c>
      <c r="AV24">
        <f t="shared" si="32"/>
        <v>311.16426883103065</v>
      </c>
      <c r="AW24">
        <f t="shared" si="29"/>
        <v>-2.2397751321382042</v>
      </c>
      <c r="AX24">
        <f t="shared" si="16"/>
        <v>0.0057573796427312415</v>
      </c>
      <c r="AY24">
        <f t="shared" si="17"/>
        <v>0.08353957861603031</v>
      </c>
      <c r="BA24">
        <f t="shared" si="30"/>
        <v>0.576005394557529</v>
      </c>
    </row>
    <row r="25" spans="1:53" ht="12.75">
      <c r="A25" s="10" t="s">
        <v>27</v>
      </c>
      <c r="B25" s="10">
        <f>SUM(P12:P30)</f>
        <v>0.15016850490274952</v>
      </c>
      <c r="C25" t="s">
        <v>4</v>
      </c>
      <c r="D25" s="5"/>
      <c r="E25" s="16">
        <f t="shared" si="27"/>
        <v>14</v>
      </c>
      <c r="F25">
        <f t="shared" si="5"/>
        <v>1.6750000000000012</v>
      </c>
      <c r="G25">
        <f>'Input form'!N18/100</f>
        <v>0.11762585997313459</v>
      </c>
      <c r="H25">
        <f t="shared" si="6"/>
        <v>46195.21877990332</v>
      </c>
      <c r="I25">
        <f t="shared" si="7"/>
        <v>193.12500000000003</v>
      </c>
      <c r="J25">
        <f t="shared" si="18"/>
        <v>0.0031448373772897196</v>
      </c>
      <c r="K25">
        <f t="shared" si="19"/>
        <v>239.19854384415956</v>
      </c>
      <c r="L25">
        <f t="shared" si="1"/>
        <v>0.09949809022308005</v>
      </c>
      <c r="M25">
        <f t="shared" si="8"/>
        <v>0.00016529454895186646</v>
      </c>
      <c r="N25">
        <f t="shared" si="28"/>
        <v>0.0763581785195691</v>
      </c>
      <c r="O25">
        <f t="shared" si="20"/>
        <v>0.09959752328292765</v>
      </c>
      <c r="P25">
        <f t="shared" si="2"/>
        <v>0.00031321801390563395</v>
      </c>
      <c r="Q25">
        <f t="shared" si="3"/>
        <v>0.07635740798931413</v>
      </c>
      <c r="R25">
        <f t="shared" si="21"/>
        <v>-1.0090998369803004E-05</v>
      </c>
      <c r="S25">
        <f>H25-Q25</f>
        <v>46195.14242249533</v>
      </c>
      <c r="T25">
        <f t="shared" si="23"/>
        <v>239.1981484659952</v>
      </c>
      <c r="U25">
        <v>0.0001652808893130495</v>
      </c>
      <c r="V25">
        <f t="shared" si="24"/>
        <v>14</v>
      </c>
      <c r="W25">
        <f t="shared" si="25"/>
        <v>0.0003953781643459631</v>
      </c>
      <c r="X25">
        <f t="shared" si="4"/>
        <v>0.002085777001698703</v>
      </c>
      <c r="Y25" s="19">
        <f t="shared" si="9"/>
        <v>0.3262255012159235</v>
      </c>
      <c r="Z25">
        <f t="shared" si="10"/>
        <v>0.00014353807265673484</v>
      </c>
      <c r="AA25">
        <f t="shared" si="26"/>
        <v>14</v>
      </c>
      <c r="AB25">
        <f t="shared" si="11"/>
        <v>30</v>
      </c>
      <c r="AC25" s="13">
        <v>4.13735</v>
      </c>
      <c r="AD25" s="14">
        <v>1739.623</v>
      </c>
      <c r="AE25" s="14">
        <v>-105.616</v>
      </c>
      <c r="AG25">
        <f t="shared" si="12"/>
        <v>-3.6640692198811697</v>
      </c>
      <c r="AH25">
        <f t="shared" si="13"/>
        <v>0.00021673586335559748</v>
      </c>
      <c r="AI25">
        <f t="shared" si="14"/>
        <v>0.0031448373772897196</v>
      </c>
      <c r="AK25">
        <f t="shared" si="15"/>
        <v>189.49274286788855</v>
      </c>
      <c r="AN25">
        <v>0.12192093352679328</v>
      </c>
      <c r="AO25">
        <v>0.00045652637865051287</v>
      </c>
      <c r="AP25">
        <v>0.00012153965319389776</v>
      </c>
      <c r="AQ25">
        <v>1.4619352591976571E-05</v>
      </c>
      <c r="AR25">
        <v>0.0014371583763867848</v>
      </c>
      <c r="AT25">
        <f t="shared" si="33"/>
        <v>3.163736602074395</v>
      </c>
      <c r="AU25">
        <f t="shared" si="31"/>
        <v>167.54749038835234</v>
      </c>
      <c r="AV25">
        <f t="shared" si="32"/>
        <v>316.0819391046402</v>
      </c>
      <c r="AW25">
        <f t="shared" si="29"/>
        <v>-2.1291695617620645</v>
      </c>
      <c r="AX25">
        <f t="shared" si="16"/>
        <v>0.0074272909727215175</v>
      </c>
      <c r="AY25">
        <f t="shared" si="17"/>
        <v>0.10776999201418921</v>
      </c>
      <c r="BA25">
        <f t="shared" si="30"/>
        <v>0.7430740949378346</v>
      </c>
    </row>
    <row r="26" spans="4:53" ht="12.75">
      <c r="D26" s="5"/>
      <c r="E26" s="16">
        <f t="shared" si="27"/>
        <v>15</v>
      </c>
      <c r="F26">
        <f t="shared" si="5"/>
        <v>1.6500000000000012</v>
      </c>
      <c r="G26">
        <f>'Input form'!N19/100</f>
        <v>0.07250440127531477</v>
      </c>
      <c r="H26">
        <f t="shared" si="6"/>
        <v>28474.662631023915</v>
      </c>
      <c r="I26">
        <f t="shared" si="7"/>
        <v>206.40000000000003</v>
      </c>
      <c r="J26">
        <f t="shared" si="18"/>
        <v>0.0011325131829038994</v>
      </c>
      <c r="K26">
        <f t="shared" si="19"/>
        <v>137.95863677821663</v>
      </c>
      <c r="L26">
        <f t="shared" si="1"/>
        <v>0.05738588817729246</v>
      </c>
      <c r="M26">
        <f t="shared" si="8"/>
        <v>5.9525611103783405E-05</v>
      </c>
      <c r="N26">
        <f t="shared" si="28"/>
        <v>0.016949716940857635</v>
      </c>
      <c r="O26">
        <f t="shared" si="20"/>
        <v>0.05744329731616397</v>
      </c>
      <c r="P26">
        <f t="shared" si="2"/>
        <v>6.505529148002388E-05</v>
      </c>
      <c r="Q26">
        <f t="shared" si="3"/>
        <v>0.016949553782436257</v>
      </c>
      <c r="R26">
        <f t="shared" si="21"/>
        <v>-9.626026319315983E-06</v>
      </c>
      <c r="S26">
        <f t="shared" si="22"/>
        <v>28474.645681470134</v>
      </c>
      <c r="T26">
        <f t="shared" si="23"/>
        <v>137.95855465828552</v>
      </c>
      <c r="U26">
        <v>5.952383952491163E-05</v>
      </c>
      <c r="V26">
        <f t="shared" si="24"/>
        <v>15</v>
      </c>
      <c r="W26">
        <f t="shared" si="25"/>
        <v>8.211993111645472E-05</v>
      </c>
      <c r="X26">
        <f t="shared" si="4"/>
        <v>0.00043321528387163646</v>
      </c>
      <c r="Y26" s="19">
        <f t="shared" si="9"/>
        <v>0.0724143767138477</v>
      </c>
      <c r="Z26">
        <f t="shared" si="10"/>
        <v>3.1862070952156105E-05</v>
      </c>
      <c r="AA26">
        <f t="shared" si="26"/>
        <v>15</v>
      </c>
      <c r="AB26">
        <f t="shared" si="11"/>
        <v>32</v>
      </c>
      <c r="AC26" s="13">
        <v>4.14935</v>
      </c>
      <c r="AD26" s="14">
        <v>1789.658</v>
      </c>
      <c r="AE26" s="14">
        <v>-111.859</v>
      </c>
      <c r="AG26">
        <f t="shared" si="12"/>
        <v>-4.1076241463629355</v>
      </c>
      <c r="AH26">
        <f t="shared" si="13"/>
        <v>7.805052949027564E-05</v>
      </c>
      <c r="AI26">
        <f t="shared" si="14"/>
        <v>0.0011325131829038994</v>
      </c>
      <c r="AK26">
        <f t="shared" si="15"/>
        <v>109.29063390306813</v>
      </c>
      <c r="AN26">
        <v>0.035858985280240965</v>
      </c>
      <c r="AO26">
        <v>8.755261716496215E-05</v>
      </c>
      <c r="AP26">
        <v>2.0733435152607215E-05</v>
      </c>
      <c r="AQ26">
        <v>2.0415350020159814E-06</v>
      </c>
      <c r="AR26">
        <v>0.00030355079729121843</v>
      </c>
      <c r="AT26">
        <f t="shared" si="33"/>
        <v>3.113736602074395</v>
      </c>
      <c r="AU26">
        <f t="shared" si="31"/>
        <v>176.68357932421972</v>
      </c>
      <c r="AV26">
        <f t="shared" si="32"/>
        <v>321.15754406901095</v>
      </c>
      <c r="AW26">
        <f t="shared" si="29"/>
        <v>-2.0189408767816275</v>
      </c>
      <c r="AX26">
        <f t="shared" si="16"/>
        <v>0.009573243889681584</v>
      </c>
      <c r="AY26">
        <f t="shared" si="17"/>
        <v>0.13890776883927977</v>
      </c>
      <c r="BA26">
        <f t="shared" si="30"/>
        <v>0.957769066146834</v>
      </c>
    </row>
    <row r="27" spans="1:53" ht="12.75">
      <c r="A27" t="s">
        <v>33</v>
      </c>
      <c r="B27">
        <f>B11-B12*B23/1000</f>
        <v>0.4999999999999999</v>
      </c>
      <c r="C27" t="s">
        <v>3</v>
      </c>
      <c r="D27" s="5"/>
      <c r="E27" s="16">
        <f t="shared" si="27"/>
        <v>16</v>
      </c>
      <c r="F27">
        <f t="shared" si="5"/>
        <v>1.6250000000000013</v>
      </c>
      <c r="G27">
        <f>'Input form'!N20/100</f>
        <v>0.0364138061283924</v>
      </c>
      <c r="H27">
        <f t="shared" si="6"/>
        <v>14300.798660211864</v>
      </c>
      <c r="I27">
        <f t="shared" si="7"/>
        <v>219.62500000000003</v>
      </c>
      <c r="J27">
        <f t="shared" si="18"/>
        <v>0.0004076327592985945</v>
      </c>
      <c r="K27">
        <f t="shared" si="19"/>
        <v>65.11462110511947</v>
      </c>
      <c r="L27">
        <f t="shared" si="1"/>
        <v>0.027085367416700683</v>
      </c>
      <c r="M27">
        <f t="shared" si="8"/>
        <v>2.1425438149202947E-05</v>
      </c>
      <c r="N27">
        <f t="shared" si="28"/>
        <v>0.003064008771785737</v>
      </c>
      <c r="O27">
        <f t="shared" si="20"/>
        <v>0.027112474088034078</v>
      </c>
      <c r="P27">
        <f t="shared" si="2"/>
        <v>1.1051932623916975E-05</v>
      </c>
      <c r="Q27">
        <f t="shared" si="3"/>
        <v>0.0030639801860404604</v>
      </c>
      <c r="R27">
        <f t="shared" si="21"/>
        <v>-9.329524621382925E-06</v>
      </c>
      <c r="S27">
        <f t="shared" si="22"/>
        <v>14300.795596231677</v>
      </c>
      <c r="T27">
        <f t="shared" si="23"/>
        <v>65.11460715415674</v>
      </c>
      <c r="U27">
        <v>2.142520862785199E-05</v>
      </c>
      <c r="V27">
        <f t="shared" si="24"/>
        <v>16</v>
      </c>
      <c r="W27">
        <f t="shared" si="25"/>
        <v>1.3950962713900786E-05</v>
      </c>
      <c r="X27">
        <f t="shared" si="4"/>
        <v>7.35968745981343E-05</v>
      </c>
      <c r="Y27" s="19">
        <f t="shared" si="9"/>
        <v>0.013090382938477522</v>
      </c>
      <c r="Z27">
        <f t="shared" si="10"/>
        <v>5.759722432257095E-06</v>
      </c>
      <c r="AA27">
        <f t="shared" si="26"/>
        <v>16</v>
      </c>
      <c r="AB27">
        <f t="shared" si="11"/>
        <v>34</v>
      </c>
      <c r="AC27" s="13">
        <v>4.17312</v>
      </c>
      <c r="AD27" s="14">
        <v>1845.672</v>
      </c>
      <c r="AE27" s="14">
        <v>-117.054</v>
      </c>
      <c r="AG27">
        <f t="shared" si="12"/>
        <v>-4.551398333739967</v>
      </c>
      <c r="AH27">
        <f t="shared" si="13"/>
        <v>2.8093229448559236E-05</v>
      </c>
      <c r="AI27">
        <f t="shared" si="14"/>
        <v>0.0004076327592985945</v>
      </c>
      <c r="AK27">
        <f t="shared" si="15"/>
        <v>51.583709314096915</v>
      </c>
      <c r="AN27">
        <v>0.008645951305152822</v>
      </c>
      <c r="AO27">
        <v>1.3699908299453709E-05</v>
      </c>
      <c r="AP27">
        <v>2.8819305604322314E-06</v>
      </c>
      <c r="AQ27">
        <v>2.316801703215264E-07</v>
      </c>
      <c r="AR27">
        <v>5.236672819322797E-05</v>
      </c>
      <c r="AT27">
        <f t="shared" si="33"/>
        <v>3.0637366020743952</v>
      </c>
      <c r="AU27">
        <f t="shared" si="31"/>
        <v>186.11786912140414</v>
      </c>
      <c r="AV27">
        <f t="shared" si="32"/>
        <v>326.39881617855787</v>
      </c>
      <c r="AW27">
        <f t="shared" si="29"/>
        <v>-1.9090871541335703</v>
      </c>
      <c r="AX27">
        <f t="shared" si="16"/>
        <v>0.012328573988151806</v>
      </c>
      <c r="AY27">
        <f t="shared" si="17"/>
        <v>0.1788876085680827</v>
      </c>
      <c r="BA27">
        <f t="shared" si="30"/>
        <v>1.2334300610769302</v>
      </c>
    </row>
    <row r="28" spans="4:53" ht="12.75">
      <c r="D28" s="5"/>
      <c r="E28" s="16">
        <f t="shared" si="27"/>
        <v>17</v>
      </c>
      <c r="F28">
        <f t="shared" si="5"/>
        <v>1.6000000000000014</v>
      </c>
      <c r="G28">
        <f>'Input form'!N21/100</f>
        <v>0.014676895879252362</v>
      </c>
      <c r="H28">
        <f t="shared" si="6"/>
        <v>5764.059164428454</v>
      </c>
      <c r="I28">
        <f t="shared" si="7"/>
        <v>232.8</v>
      </c>
      <c r="J28">
        <f t="shared" si="18"/>
        <v>0.00011736345667236669</v>
      </c>
      <c r="K28">
        <f t="shared" si="19"/>
        <v>24.759704314555215</v>
      </c>
      <c r="L28">
        <f t="shared" si="1"/>
        <v>0.010299156734797785</v>
      </c>
      <c r="M28">
        <f t="shared" si="8"/>
        <v>6.168707513465321E-06</v>
      </c>
      <c r="N28">
        <f t="shared" si="28"/>
        <v>0.0003555679507566845</v>
      </c>
      <c r="O28">
        <f t="shared" si="20"/>
        <v>0.010309465565191746</v>
      </c>
      <c r="P28">
        <f t="shared" si="2"/>
        <v>1.209954515175638E-06</v>
      </c>
      <c r="Q28">
        <f t="shared" si="3"/>
        <v>0.00035556415278527944</v>
      </c>
      <c r="R28">
        <f t="shared" si="21"/>
        <v>-1.0681422206234751E-05</v>
      </c>
      <c r="S28">
        <f t="shared" si="22"/>
        <v>5764.058808864302</v>
      </c>
      <c r="T28">
        <f t="shared" si="23"/>
        <v>24.75970278721779</v>
      </c>
      <c r="U28">
        <v>6.168688487133262E-06</v>
      </c>
      <c r="V28">
        <f t="shared" si="24"/>
        <v>17</v>
      </c>
      <c r="W28">
        <f t="shared" si="25"/>
        <v>1.5273374260536057E-06</v>
      </c>
      <c r="X28">
        <f t="shared" si="4"/>
        <v>8.05731212386522E-06</v>
      </c>
      <c r="Y28" s="19">
        <f t="shared" si="9"/>
        <v>0.0015190950753518938</v>
      </c>
      <c r="Z28">
        <f t="shared" si="10"/>
        <v>6.68396487968075E-07</v>
      </c>
      <c r="AA28">
        <f t="shared" si="26"/>
        <v>17</v>
      </c>
      <c r="AB28">
        <f t="shared" si="11"/>
        <v>36</v>
      </c>
      <c r="AC28" s="13">
        <v>3.9273</v>
      </c>
      <c r="AD28" s="14">
        <v>1718.004</v>
      </c>
      <c r="AE28" s="14">
        <v>-138.126</v>
      </c>
      <c r="AG28">
        <f t="shared" si="12"/>
        <v>-5.092134520262811</v>
      </c>
      <c r="AH28">
        <f t="shared" si="13"/>
        <v>8.088453251024582E-06</v>
      </c>
      <c r="AI28">
        <f t="shared" si="14"/>
        <v>0.00011736345667236669</v>
      </c>
      <c r="AK28">
        <f t="shared" si="15"/>
        <v>19.614602195152614</v>
      </c>
      <c r="AN28">
        <v>0.0017357101995172889</v>
      </c>
      <c r="AO28">
        <v>1.4632561984906745E-06</v>
      </c>
      <c r="AP28">
        <v>2.4497378027849755E-07</v>
      </c>
      <c r="AQ28">
        <v>1.2742917231519417E-08</v>
      </c>
      <c r="AR28">
        <v>6.64391531081961E-06</v>
      </c>
      <c r="AT28">
        <f t="shared" si="33"/>
        <v>3.0137366020743954</v>
      </c>
      <c r="AU28">
        <f t="shared" si="31"/>
        <v>195.86520186304134</v>
      </c>
      <c r="AV28">
        <f t="shared" si="32"/>
        <v>331.81400103502295</v>
      </c>
      <c r="AW28">
        <f t="shared" si="29"/>
        <v>-1.7996064838156451</v>
      </c>
      <c r="AX28">
        <f t="shared" si="16"/>
        <v>0.015863299221300482</v>
      </c>
      <c r="AY28">
        <f t="shared" si="17"/>
        <v>0.23017647170107</v>
      </c>
      <c r="BA28">
        <f t="shared" si="30"/>
        <v>1.5870667723788776</v>
      </c>
    </row>
    <row r="29" spans="1:53" ht="12.75">
      <c r="A29" t="s">
        <v>36</v>
      </c>
      <c r="B29">
        <f>N10</f>
        <v>23.406563323517997</v>
      </c>
      <c r="C29" t="s">
        <v>11</v>
      </c>
      <c r="D29" s="5"/>
      <c r="E29" s="16">
        <f t="shared" si="27"/>
        <v>18</v>
      </c>
      <c r="F29">
        <f t="shared" si="5"/>
        <v>1.5750000000000015</v>
      </c>
      <c r="G29">
        <f>'Input form'!N22/100</f>
        <v>0.004524902943593424</v>
      </c>
      <c r="H29">
        <f t="shared" si="6"/>
        <v>1777.0657020902408</v>
      </c>
      <c r="I29">
        <f t="shared" si="7"/>
        <v>245.925</v>
      </c>
      <c r="J29">
        <f t="shared" si="18"/>
        <v>8.813604281529634E-05</v>
      </c>
      <c r="K29">
        <f t="shared" si="19"/>
        <v>7.226047380665816</v>
      </c>
      <c r="L29">
        <f t="shared" si="1"/>
        <v>0.0030057788090305454</v>
      </c>
      <c r="M29">
        <f t="shared" si="8"/>
        <v>4.63251540305798E-06</v>
      </c>
      <c r="N29">
        <f t="shared" si="28"/>
        <v>8.232284237179083E-05</v>
      </c>
      <c r="O29">
        <f t="shared" si="20"/>
        <v>0.003008787457289503</v>
      </c>
      <c r="P29">
        <f t="shared" si="2"/>
        <v>2.651826201577942E-07</v>
      </c>
      <c r="Q29">
        <f t="shared" si="3"/>
        <v>8.232157801359051E-05</v>
      </c>
      <c r="R29">
        <f t="shared" si="21"/>
        <v>-1.535853432522628E-05</v>
      </c>
      <c r="S29">
        <f t="shared" si="22"/>
        <v>1777.0656197686628</v>
      </c>
      <c r="T29">
        <f t="shared" si="23"/>
        <v>7.226047045923199</v>
      </c>
      <c r="U29">
        <v>4.632504672912022E-06</v>
      </c>
      <c r="V29">
        <f t="shared" si="24"/>
        <v>18</v>
      </c>
      <c r="W29">
        <f t="shared" si="25"/>
        <v>3.347426167066809E-07</v>
      </c>
      <c r="X29">
        <f t="shared" si="4"/>
        <v>1.7659003819045066E-06</v>
      </c>
      <c r="Y29" s="19">
        <f t="shared" si="9"/>
        <v>0.0003517083701436685</v>
      </c>
      <c r="Z29">
        <f t="shared" si="10"/>
        <v>1.5475044531926223E-07</v>
      </c>
      <c r="AA29">
        <f t="shared" si="26"/>
        <v>18</v>
      </c>
      <c r="AB29">
        <f t="shared" si="11"/>
        <v>38</v>
      </c>
      <c r="AC29" s="13">
        <v>4.33209</v>
      </c>
      <c r="AD29" s="14">
        <v>2068.963</v>
      </c>
      <c r="AE29" s="14">
        <v>-111.927</v>
      </c>
      <c r="AG29">
        <f t="shared" si="12"/>
        <v>-5.216513865039205</v>
      </c>
      <c r="AH29">
        <f t="shared" si="13"/>
        <v>6.074158705396026E-06</v>
      </c>
      <c r="AI29">
        <f t="shared" si="14"/>
        <v>8.813604281529634E-05</v>
      </c>
      <c r="AK29">
        <f t="shared" si="15"/>
        <v>5.724464356053062</v>
      </c>
      <c r="AN29">
        <v>0.00026946186937845527</v>
      </c>
      <c r="AO29">
        <v>2.564859056466739E-07</v>
      </c>
      <c r="AP29">
        <v>4.84595873881289E-08</v>
      </c>
      <c r="AQ29">
        <v>3.3170587657788057E-09</v>
      </c>
      <c r="AR29">
        <v>1.0805827253898827E-06</v>
      </c>
      <c r="AT29">
        <f t="shared" si="33"/>
        <v>2.9637366020743956</v>
      </c>
      <c r="AU29">
        <f t="shared" si="31"/>
        <v>205.94142121136323</v>
      </c>
      <c r="AV29">
        <f t="shared" si="32"/>
        <v>337.4119006729796</v>
      </c>
      <c r="AW29">
        <f t="shared" si="29"/>
        <v>-1.690496968775964</v>
      </c>
      <c r="AX29">
        <f t="shared" si="16"/>
        <v>0.02039402893879955</v>
      </c>
      <c r="AY29">
        <f t="shared" si="17"/>
        <v>0.2959173599019815</v>
      </c>
      <c r="BA29">
        <f t="shared" si="30"/>
        <v>2.0403501965241624</v>
      </c>
    </row>
    <row r="30" spans="4:53" ht="12.75">
      <c r="D30" s="5"/>
      <c r="E30" s="16">
        <f t="shared" si="27"/>
        <v>19</v>
      </c>
      <c r="F30">
        <f t="shared" si="5"/>
        <v>1.5500000000000016</v>
      </c>
      <c r="G30">
        <f>'Input form'!N23/100</f>
        <v>0.00118874229935928</v>
      </c>
      <c r="H30">
        <f t="shared" si="6"/>
        <v>466.85491272386463</v>
      </c>
      <c r="I30">
        <f t="shared" si="7"/>
        <v>259.00000000000006</v>
      </c>
      <c r="J30">
        <f t="shared" si="18"/>
        <v>3.187601582906891E-05</v>
      </c>
      <c r="K30">
        <f t="shared" si="19"/>
        <v>1.8025286205554616</v>
      </c>
      <c r="L30">
        <f t="shared" si="1"/>
        <v>0.0007497878224315555</v>
      </c>
      <c r="M30">
        <f t="shared" si="8"/>
        <v>1.6754287617271046E-06</v>
      </c>
      <c r="N30">
        <f t="shared" si="28"/>
        <v>7.8218214833116E-06</v>
      </c>
      <c r="O30">
        <f t="shared" si="20"/>
        <v>0.0007505383482288073</v>
      </c>
      <c r="P30">
        <f t="shared" si="2"/>
        <v>2.3924172268464692E-08</v>
      </c>
      <c r="Q30">
        <f t="shared" si="3"/>
        <v>7.821726649871634E-06</v>
      </c>
      <c r="R30">
        <f t="shared" si="21"/>
        <v>-1.212421431102916E-05</v>
      </c>
      <c r="S30">
        <f t="shared" si="22"/>
        <v>466.854904902138</v>
      </c>
      <c r="T30">
        <f t="shared" si="23"/>
        <v>1.8025285903557449</v>
      </c>
      <c r="U30">
        <v>1.6754273581199771E-06</v>
      </c>
      <c r="V30">
        <f t="shared" si="24"/>
        <v>19</v>
      </c>
      <c r="W30">
        <f t="shared" si="25"/>
        <v>3.0199716794871164E-08</v>
      </c>
      <c r="X30">
        <f t="shared" si="4"/>
        <v>1.5931551215721424E-07</v>
      </c>
      <c r="Y30" s="19">
        <f t="shared" si="9"/>
        <v>3.341721454448864E-05</v>
      </c>
      <c r="Z30">
        <f t="shared" si="10"/>
        <v>1.4703456815589919E-08</v>
      </c>
      <c r="AA30">
        <f t="shared" si="26"/>
        <v>19</v>
      </c>
      <c r="AB30">
        <f t="shared" si="11"/>
        <v>40</v>
      </c>
      <c r="AC30" s="13">
        <v>30.42816</v>
      </c>
      <c r="AD30" s="14">
        <v>28197.488</v>
      </c>
      <c r="AE30" s="14">
        <v>452.785</v>
      </c>
      <c r="AG30">
        <f t="shared" si="12"/>
        <v>-5.658203378621465</v>
      </c>
      <c r="AH30">
        <f t="shared" si="13"/>
        <v>2.1968308634782154E-06</v>
      </c>
      <c r="AI30">
        <f t="shared" si="14"/>
        <v>3.187601582906891E-05</v>
      </c>
      <c r="AK30">
        <f t="shared" si="15"/>
        <v>1.427960584197619</v>
      </c>
      <c r="AN30">
        <v>0.0005732013595833174</v>
      </c>
      <c r="AO30">
        <v>2.1541253533913708E-08</v>
      </c>
      <c r="AP30">
        <v>3.689355497794557E-09</v>
      </c>
      <c r="AQ30">
        <v>3.1073690509972373E-10</v>
      </c>
      <c r="AR30">
        <v>1.1694554090583067E-07</v>
      </c>
      <c r="AT30">
        <f t="shared" si="33"/>
        <v>2.9137366020743958</v>
      </c>
      <c r="AU30">
        <f t="shared" si="31"/>
        <v>216.36345834366563</v>
      </c>
      <c r="AV30">
        <f t="shared" si="32"/>
        <v>343.20192130203645</v>
      </c>
      <c r="AW30">
        <f t="shared" si="29"/>
        <v>-1.5817567248034345</v>
      </c>
      <c r="AX30">
        <f t="shared" si="16"/>
        <v>0.02619650025278351</v>
      </c>
      <c r="AY30">
        <f t="shared" si="17"/>
        <v>0.3801112186678887</v>
      </c>
      <c r="BA30">
        <f t="shared" si="30"/>
        <v>2.6208668527150927</v>
      </c>
    </row>
    <row r="31" spans="1:53" ht="12.75">
      <c r="A31" t="s">
        <v>37</v>
      </c>
      <c r="B31">
        <f>$B$7*B15*B29/(B25*B27)</f>
        <v>123.47892694013079</v>
      </c>
      <c r="D31" s="5"/>
      <c r="AC31" s="13"/>
      <c r="AD31" s="14"/>
      <c r="AE31" s="14"/>
      <c r="AT31">
        <f t="shared" si="33"/>
        <v>2.863736602074396</v>
      </c>
      <c r="AU31">
        <f t="shared" si="31"/>
        <v>227.1494268907761</v>
      </c>
      <c r="AV31">
        <f t="shared" si="32"/>
        <v>349.1941260504312</v>
      </c>
      <c r="AW31">
        <f t="shared" si="29"/>
        <v>-1.473383880419295</v>
      </c>
      <c r="AX31">
        <f t="shared" si="16"/>
        <v>0.033621425238842775</v>
      </c>
      <c r="AY31">
        <f t="shared" si="17"/>
        <v>0.4878468802156087</v>
      </c>
      <c r="BA31">
        <f t="shared" si="30"/>
        <v>3.363704239086622</v>
      </c>
    </row>
    <row r="32" spans="4:53" ht="12.75">
      <c r="D32" s="5"/>
      <c r="F32" t="s">
        <v>200</v>
      </c>
      <c r="G32">
        <f>'Equiv ratio'!U27</f>
        <v>2.003673672129579</v>
      </c>
      <c r="P32" t="s">
        <v>87</v>
      </c>
      <c r="Q32">
        <f>'Input form'!C21</f>
        <v>50</v>
      </c>
      <c r="R32" t="s">
        <v>255</v>
      </c>
      <c r="S32" s="71">
        <f>'Input form'!C20</f>
        <v>0</v>
      </c>
      <c r="T32" t="s">
        <v>256</v>
      </c>
      <c r="AT32">
        <f t="shared" si="33"/>
        <v>2.813736602074396</v>
      </c>
      <c r="AU32">
        <f t="shared" si="31"/>
        <v>238.31872799784097</v>
      </c>
      <c r="AV32">
        <f t="shared" si="32"/>
        <v>355.3992933321339</v>
      </c>
      <c r="AW32">
        <f t="shared" si="29"/>
        <v>-1.3653765767697514</v>
      </c>
      <c r="AX32">
        <f t="shared" si="16"/>
        <v>0.04311450687865416</v>
      </c>
      <c r="AY32">
        <f t="shared" si="17"/>
        <v>0.6255914948092719</v>
      </c>
      <c r="BA32">
        <f t="shared" si="30"/>
        <v>4.313453356709929</v>
      </c>
    </row>
    <row r="33" spans="1:53" ht="12.75">
      <c r="A33" t="s">
        <v>38</v>
      </c>
      <c r="B33">
        <f>(B40)*B27*28.9644/(B7*B15)</f>
        <v>531.9716024206094</v>
      </c>
      <c r="C33" t="s">
        <v>11</v>
      </c>
      <c r="D33" s="5"/>
      <c r="H33">
        <f aca="true" t="shared" si="34" ref="H33:H51">$B$12*G33</f>
        <v>0</v>
      </c>
      <c r="P33" t="s">
        <v>257</v>
      </c>
      <c r="Q33">
        <f>'Input form'!C19</f>
        <v>131.81723022460938</v>
      </c>
      <c r="R33" t="s">
        <v>192</v>
      </c>
      <c r="S33">
        <f>'Input form'!G20</f>
        <v>0.043999648133494405</v>
      </c>
      <c r="W33" s="90">
        <v>0.0004788</v>
      </c>
      <c r="AT33">
        <f t="shared" si="33"/>
        <v>2.7637366020743963</v>
      </c>
      <c r="AU33">
        <f t="shared" si="31"/>
        <v>249.892166789325</v>
      </c>
      <c r="AV33">
        <f t="shared" si="32"/>
        <v>361.828981549625</v>
      </c>
      <c r="AW33">
        <f t="shared" si="29"/>
        <v>-1.2577329675196918</v>
      </c>
      <c r="AX33">
        <f t="shared" si="16"/>
        <v>0.05524169967604635</v>
      </c>
      <c r="AY33">
        <f t="shared" si="17"/>
        <v>0.8015570622994325</v>
      </c>
      <c r="BA33">
        <f t="shared" si="30"/>
        <v>5.526735944554587</v>
      </c>
    </row>
    <row r="34" spans="4:53" ht="12.75">
      <c r="D34" s="5"/>
      <c r="H34">
        <f t="shared" si="34"/>
        <v>0</v>
      </c>
      <c r="U34" t="s">
        <v>7</v>
      </c>
      <c r="W34" t="s">
        <v>144</v>
      </c>
      <c r="Y34" t="s">
        <v>236</v>
      </c>
      <c r="AT34">
        <f t="shared" si="33"/>
        <v>2.7137366020743965</v>
      </c>
      <c r="AU34">
        <f t="shared" si="31"/>
        <v>261.892081709061</v>
      </c>
      <c r="AV34">
        <f t="shared" si="32"/>
        <v>368.49560094947833</v>
      </c>
      <c r="AW34">
        <f t="shared" si="29"/>
        <v>-1.1504512187474818</v>
      </c>
      <c r="AX34">
        <f t="shared" si="16"/>
        <v>0.07072106322293639</v>
      </c>
      <c r="AY34">
        <f t="shared" si="17"/>
        <v>1.026162627364807</v>
      </c>
      <c r="BA34">
        <f t="shared" si="30"/>
        <v>7.075391315680344</v>
      </c>
    </row>
    <row r="35" spans="1:53" ht="12.75">
      <c r="A35" t="s">
        <v>39</v>
      </c>
      <c r="B35">
        <f>B29/B33</f>
        <v>0.043999648133494405</v>
      </c>
      <c r="D35" s="5"/>
      <c r="H35">
        <f t="shared" si="34"/>
        <v>0</v>
      </c>
      <c r="U35" t="s">
        <v>234</v>
      </c>
      <c r="Y35" t="s">
        <v>235</v>
      </c>
      <c r="AT35">
        <f t="shared" si="33"/>
        <v>2.6637366020743967</v>
      </c>
      <c r="AU35">
        <f t="shared" si="31"/>
        <v>274.3424884270621</v>
      </c>
      <c r="AV35">
        <f t="shared" si="32"/>
        <v>375.4124935705901</v>
      </c>
      <c r="AW35">
        <f t="shared" si="29"/>
        <v>-1.043529508840816</v>
      </c>
      <c r="AX35">
        <f t="shared" si="16"/>
        <v>0.09046289691717799</v>
      </c>
      <c r="AY35">
        <f t="shared" si="17"/>
        <v>1.3126166342682526</v>
      </c>
      <c r="BA35">
        <f t="shared" si="30"/>
        <v>9.050491693279602</v>
      </c>
    </row>
    <row r="36" spans="4:53" ht="12.75">
      <c r="D36" s="5"/>
      <c r="H36">
        <f t="shared" si="34"/>
        <v>0</v>
      </c>
      <c r="T36">
        <v>1</v>
      </c>
      <c r="U36">
        <f aca="true" t="shared" si="35" ref="U36:U54">P12</f>
        <v>0</v>
      </c>
      <c r="W36" s="71">
        <f>U36*144*$W$33*1000</f>
        <v>0</v>
      </c>
      <c r="AT36">
        <f t="shared" si="33"/>
        <v>2.613736602074397</v>
      </c>
      <c r="AU36">
        <f t="shared" si="31"/>
        <v>287.2692402637002</v>
      </c>
      <c r="AV36">
        <f t="shared" si="32"/>
        <v>382.59402236872234</v>
      </c>
      <c r="AW36">
        <f t="shared" si="29"/>
        <v>-0.9369660283936083</v>
      </c>
      <c r="AX36">
        <f t="shared" si="16"/>
        <v>0.11562026797357636</v>
      </c>
      <c r="AY36">
        <f t="shared" si="17"/>
        <v>1.677650088296593</v>
      </c>
      <c r="BA36">
        <f t="shared" si="30"/>
        <v>11.567397358805009</v>
      </c>
    </row>
    <row r="37" spans="1:53" ht="12.75">
      <c r="A37" t="s">
        <v>105</v>
      </c>
      <c r="B37">
        <f>B29/B12*100</f>
        <v>0.005959961252834654</v>
      </c>
      <c r="H37">
        <f t="shared" si="34"/>
        <v>0</v>
      </c>
      <c r="T37">
        <v>2</v>
      </c>
      <c r="U37">
        <f t="shared" si="35"/>
        <v>3.496739611436402E-12</v>
      </c>
      <c r="W37" s="71">
        <f aca="true" t="shared" si="36" ref="W37:W54">U37*144*$W$33*1000</f>
        <v>2.410904053376279E-10</v>
      </c>
      <c r="AT37">
        <f t="shared" si="33"/>
        <v>2.563736602074397</v>
      </c>
      <c r="AU37">
        <f t="shared" si="31"/>
        <v>300.7002073861899</v>
      </c>
      <c r="AV37">
        <f t="shared" si="32"/>
        <v>390.0556707701055</v>
      </c>
      <c r="AW37">
        <f t="shared" si="29"/>
        <v>-0.8307589801039361</v>
      </c>
      <c r="AX37">
        <f t="shared" si="16"/>
        <v>0.14765257316827865</v>
      </c>
      <c r="AY37">
        <f t="shared" si="17"/>
        <v>2.1424388366717233</v>
      </c>
      <c r="BA37">
        <f t="shared" si="30"/>
        <v>14.772115778851532</v>
      </c>
    </row>
    <row r="38" spans="8:23" ht="12.75">
      <c r="H38">
        <f t="shared" si="34"/>
        <v>0</v>
      </c>
      <c r="T38">
        <v>3</v>
      </c>
      <c r="U38">
        <f t="shared" si="35"/>
        <v>3.096191565883373E-08</v>
      </c>
      <c r="W38" s="71">
        <f t="shared" si="36"/>
        <v>2.1347373913127414E-06</v>
      </c>
    </row>
    <row r="39" spans="8:51" ht="12.75">
      <c r="H39">
        <f t="shared" si="34"/>
        <v>0</v>
      </c>
      <c r="T39">
        <v>4</v>
      </c>
      <c r="U39">
        <f t="shared" si="35"/>
        <v>9.64064135260681E-06</v>
      </c>
      <c r="W39" s="71">
        <f t="shared" si="36"/>
        <v>0.0006646952274664522</v>
      </c>
      <c r="AT39" t="s">
        <v>315</v>
      </c>
      <c r="AU39">
        <v>469.08723528679434</v>
      </c>
      <c r="AV39">
        <f>((AU39+40)*5/9-40)+273.15</f>
        <v>515.9762418259968</v>
      </c>
      <c r="AW39">
        <f t="shared" si="29"/>
        <v>0.4688181812220602</v>
      </c>
      <c r="AX39">
        <f t="shared" si="16"/>
        <v>2.943189200236052</v>
      </c>
      <c r="AY39">
        <f t="shared" si="17"/>
        <v>42.70567529542512</v>
      </c>
    </row>
    <row r="40" spans="1:25" ht="12.75">
      <c r="A40" t="s">
        <v>264</v>
      </c>
      <c r="B40">
        <f>B3-B25-B48</f>
        <v>14.54983149509725</v>
      </c>
      <c r="C40" t="s">
        <v>4</v>
      </c>
      <c r="D40">
        <f>B40*B27/(B15*B7)</f>
        <v>18.36639469212583</v>
      </c>
      <c r="E40" t="s">
        <v>173</v>
      </c>
      <c r="H40">
        <f t="shared" si="34"/>
        <v>0</v>
      </c>
      <c r="T40">
        <v>5</v>
      </c>
      <c r="U40">
        <f t="shared" si="35"/>
        <v>0.00046581280903480493</v>
      </c>
      <c r="W40" s="71">
        <f t="shared" si="36"/>
        <v>0.0321164889070845</v>
      </c>
      <c r="Y40">
        <v>0.712</v>
      </c>
    </row>
    <row r="41" spans="4:25" ht="12.75">
      <c r="D41">
        <f>(B25*B27)/(B15*B7)</f>
        <v>0.18955917340346465</v>
      </c>
      <c r="E41" t="s">
        <v>174</v>
      </c>
      <c r="H41">
        <f t="shared" si="34"/>
        <v>0</v>
      </c>
      <c r="T41">
        <v>6</v>
      </c>
      <c r="U41">
        <f t="shared" si="35"/>
        <v>0.005542276469677163</v>
      </c>
      <c r="W41" s="71">
        <f t="shared" si="36"/>
        <v>0.3821244442101253</v>
      </c>
      <c r="Y41">
        <v>0.741</v>
      </c>
    </row>
    <row r="42" spans="1:25" ht="12.75">
      <c r="A42" t="s">
        <v>175</v>
      </c>
      <c r="D42">
        <f>X9/(X9+D40)*1000000</f>
        <v>10215.544551207457</v>
      </c>
      <c r="H42">
        <f t="shared" si="34"/>
        <v>0</v>
      </c>
      <c r="T42">
        <v>7</v>
      </c>
      <c r="U42">
        <f t="shared" si="35"/>
        <v>0.02077472206888376</v>
      </c>
      <c r="W42" s="71">
        <f t="shared" si="36"/>
        <v>1.4323589174277422</v>
      </c>
      <c r="Y42">
        <v>1.79</v>
      </c>
    </row>
    <row r="43" spans="6:25" ht="12.75">
      <c r="F43" s="120"/>
      <c r="H43">
        <f t="shared" si="34"/>
        <v>0</v>
      </c>
      <c r="T43">
        <v>8</v>
      </c>
      <c r="U43">
        <f t="shared" si="35"/>
        <v>0.03903026681091288</v>
      </c>
      <c r="W43" s="71">
        <f t="shared" si="36"/>
        <v>2.6910276118653726</v>
      </c>
      <c r="Y43">
        <v>2.27</v>
      </c>
    </row>
    <row r="44" spans="1:25" ht="12.75">
      <c r="A44" t="s">
        <v>275</v>
      </c>
      <c r="B44">
        <f>(('Input form'!C24)+40)*5/9-40+273.15</f>
        <v>305.3722222222222</v>
      </c>
      <c r="C44" t="s">
        <v>276</v>
      </c>
      <c r="H44">
        <f t="shared" si="34"/>
        <v>0</v>
      </c>
      <c r="T44">
        <v>9</v>
      </c>
      <c r="U44">
        <f t="shared" si="35"/>
        <v>0.03925333961524006</v>
      </c>
      <c r="W44" s="71">
        <f t="shared" si="36"/>
        <v>2.7064078571198795</v>
      </c>
      <c r="Y44">
        <v>2.52</v>
      </c>
    </row>
    <row r="45" spans="4:25" ht="12.75">
      <c r="D45" t="s">
        <v>261</v>
      </c>
      <c r="H45">
        <f t="shared" si="34"/>
        <v>0</v>
      </c>
      <c r="T45">
        <v>10</v>
      </c>
      <c r="U45">
        <f t="shared" si="35"/>
        <v>0.02645861866712143</v>
      </c>
      <c r="W45" s="71">
        <f t="shared" si="36"/>
        <v>1.8242476729657546</v>
      </c>
      <c r="Y45">
        <v>1.88</v>
      </c>
    </row>
    <row r="46" spans="1:25" ht="12.75">
      <c r="A46" t="s">
        <v>262</v>
      </c>
      <c r="B46">
        <f>10^(D46-(E46/(B44+F46)))*14.5038</f>
        <v>0.6947023755718359</v>
      </c>
      <c r="C46" t="s">
        <v>4</v>
      </c>
      <c r="D46" s="120">
        <v>5.20389</v>
      </c>
      <c r="E46" s="120">
        <v>1733.926</v>
      </c>
      <c r="F46" s="120">
        <v>-39.57830911760995</v>
      </c>
      <c r="H46">
        <f t="shared" si="34"/>
        <v>0</v>
      </c>
      <c r="T46">
        <v>11</v>
      </c>
      <c r="U46">
        <f t="shared" si="35"/>
        <v>0.012710541117223943</v>
      </c>
      <c r="W46" s="71">
        <f t="shared" si="36"/>
        <v>0.8763562205174625</v>
      </c>
      <c r="Y46">
        <v>0.626</v>
      </c>
    </row>
    <row r="47" spans="8:25" ht="12.75">
      <c r="H47">
        <f t="shared" si="34"/>
        <v>0</v>
      </c>
      <c r="T47">
        <v>12</v>
      </c>
      <c r="U47">
        <f t="shared" si="35"/>
        <v>0.0042929160658706795</v>
      </c>
      <c r="W47" s="71">
        <f t="shared" si="36"/>
        <v>0.29598454257679885</v>
      </c>
      <c r="Y47">
        <v>0.158</v>
      </c>
    </row>
    <row r="48" spans="1:25" ht="12.75">
      <c r="A48" t="s">
        <v>263</v>
      </c>
      <c r="B48">
        <f>B46*'Input form'!C23/100</f>
        <v>0</v>
      </c>
      <c r="C48" t="s">
        <v>4</v>
      </c>
      <c r="H48">
        <f t="shared" si="34"/>
        <v>0</v>
      </c>
      <c r="T48">
        <v>13</v>
      </c>
      <c r="U48">
        <f t="shared" si="35"/>
        <v>0.0012395153727026522</v>
      </c>
      <c r="W48" s="71">
        <f t="shared" si="36"/>
        <v>0.0854611143048043</v>
      </c>
      <c r="Y48">
        <v>0.037</v>
      </c>
    </row>
    <row r="49" spans="4:25" ht="12.75">
      <c r="D49" s="120">
        <v>5.20389</v>
      </c>
      <c r="E49" s="120">
        <v>1733.926</v>
      </c>
      <c r="F49" s="120">
        <v>-39.485</v>
      </c>
      <c r="H49">
        <f t="shared" si="34"/>
        <v>0</v>
      </c>
      <c r="T49">
        <v>14</v>
      </c>
      <c r="U49">
        <f t="shared" si="35"/>
        <v>0.00031321801390563395</v>
      </c>
      <c r="W49" s="71">
        <f t="shared" si="36"/>
        <v>0.021595505048354526</v>
      </c>
      <c r="Y49">
        <v>0.005</v>
      </c>
    </row>
    <row r="50" spans="8:23" ht="12.75">
      <c r="H50">
        <f t="shared" si="34"/>
        <v>0</v>
      </c>
      <c r="T50">
        <v>15</v>
      </c>
      <c r="U50">
        <f t="shared" si="35"/>
        <v>6.505529148002388E-05</v>
      </c>
      <c r="W50" s="71">
        <f t="shared" si="36"/>
        <v>0.004485380192731502</v>
      </c>
    </row>
    <row r="51" spans="8:23" ht="12.75">
      <c r="H51">
        <f t="shared" si="34"/>
        <v>0</v>
      </c>
      <c r="T51">
        <v>16</v>
      </c>
      <c r="U51">
        <f t="shared" si="35"/>
        <v>1.1051932623916975E-05</v>
      </c>
      <c r="W51" s="71">
        <f t="shared" si="36"/>
        <v>0.0007619998090077284</v>
      </c>
    </row>
    <row r="52" spans="20:23" ht="12.75">
      <c r="T52">
        <v>17</v>
      </c>
      <c r="U52">
        <f t="shared" si="35"/>
        <v>1.209954515175638E-06</v>
      </c>
      <c r="W52" s="71">
        <f t="shared" si="36"/>
        <v>8.342297594871774E-05</v>
      </c>
    </row>
    <row r="53" spans="20:23" ht="12.75">
      <c r="T53">
        <v>18</v>
      </c>
      <c r="U53">
        <f t="shared" si="35"/>
        <v>2.651826201577942E-07</v>
      </c>
      <c r="W53" s="71">
        <f t="shared" si="36"/>
        <v>1.828359914854347E-05</v>
      </c>
    </row>
    <row r="54" spans="20:23" ht="12.75">
      <c r="T54">
        <v>19</v>
      </c>
      <c r="U54">
        <f t="shared" si="35"/>
        <v>2.3924172268464692E-08</v>
      </c>
      <c r="W54" s="71">
        <f t="shared" si="36"/>
        <v>1.6495046902282888E-06</v>
      </c>
    </row>
    <row r="55" ht="12.75">
      <c r="W55" s="71"/>
    </row>
    <row r="56" spans="21:25" ht="12.75">
      <c r="U56">
        <f>SUM(U36:U54)</f>
        <v>0.15016850490274952</v>
      </c>
      <c r="W56">
        <f>SUM(W36:W54)</f>
        <v>10.353697941230855</v>
      </c>
      <c r="Y56">
        <f>SUM(Y36:Y54)</f>
        <v>10.739</v>
      </c>
    </row>
    <row r="1035" spans="19:21" ht="12.75">
      <c r="S1035">
        <v>48.18104553222656</v>
      </c>
      <c r="T1035">
        <v>1.0002474784851074</v>
      </c>
      <c r="U1035">
        <v>47.69062805175781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O126"/>
  <sheetViews>
    <sheetView workbookViewId="0" topLeftCell="A1">
      <selection activeCell="A1" sqref="A1"/>
    </sheetView>
  </sheetViews>
  <sheetFormatPr defaultColWidth="9.140625" defaultRowHeight="12.75"/>
  <sheetData>
    <row r="1" spans="1:7" ht="12.75">
      <c r="A1" s="173" t="s">
        <v>296</v>
      </c>
      <c r="B1" s="173"/>
      <c r="C1" s="173"/>
      <c r="D1" s="170"/>
      <c r="E1" s="170"/>
      <c r="F1" s="170"/>
      <c r="G1" s="166"/>
    </row>
    <row r="2" spans="1:7" ht="16.5" thickBot="1">
      <c r="A2" s="174" t="s">
        <v>28</v>
      </c>
      <c r="B2" s="175" t="s">
        <v>299</v>
      </c>
      <c r="C2" s="170" t="s">
        <v>300</v>
      </c>
      <c r="D2" s="170"/>
      <c r="E2" s="170"/>
      <c r="F2" s="170"/>
      <c r="G2" s="166"/>
    </row>
    <row r="3" spans="1:7" ht="13.5" thickBot="1">
      <c r="A3" s="170"/>
      <c r="B3" s="176" t="s">
        <v>293</v>
      </c>
      <c r="C3" s="176"/>
      <c r="D3" s="191">
        <v>404.8199560063154</v>
      </c>
      <c r="E3" s="193" t="s">
        <v>303</v>
      </c>
      <c r="F3" s="172">
        <f>(SUM(F17:F46))^0.5</f>
        <v>7.234099777420303</v>
      </c>
      <c r="G3" s="167"/>
    </row>
    <row r="4" spans="1:7" ht="13.5" thickBot="1">
      <c r="A4" s="177"/>
      <c r="B4" s="176" t="s">
        <v>294</v>
      </c>
      <c r="C4" s="176"/>
      <c r="D4" s="192">
        <v>62.05973985926105</v>
      </c>
      <c r="E4" s="178"/>
      <c r="F4" s="170"/>
      <c r="G4" s="168"/>
    </row>
    <row r="5" spans="1:6" ht="12.75">
      <c r="A5" s="177"/>
      <c r="B5" s="188" t="s">
        <v>292</v>
      </c>
      <c r="C5" s="189" t="s">
        <v>295</v>
      </c>
      <c r="D5" s="188" t="s">
        <v>297</v>
      </c>
      <c r="E5" s="170" t="s">
        <v>304</v>
      </c>
      <c r="F5" s="170" t="s">
        <v>305</v>
      </c>
    </row>
    <row r="6" spans="1:6" ht="13.5" thickBot="1">
      <c r="A6" s="173"/>
      <c r="B6" s="170"/>
      <c r="C6" s="190" t="s">
        <v>298</v>
      </c>
      <c r="D6" s="188" t="s">
        <v>298</v>
      </c>
      <c r="E6" s="170" t="s">
        <v>298</v>
      </c>
      <c r="F6" s="170" t="s">
        <v>306</v>
      </c>
    </row>
    <row r="7" spans="1:8" ht="12.75">
      <c r="A7" s="177"/>
      <c r="B7" s="170">
        <v>0.001</v>
      </c>
      <c r="C7" s="170"/>
      <c r="D7" s="170">
        <f>NORMINV(B7/100,$D$3,$D$4)</f>
        <v>140.1324741330704</v>
      </c>
      <c r="E7" s="179"/>
      <c r="F7" s="170"/>
      <c r="H7" s="19"/>
    </row>
    <row r="8" spans="1:8" ht="12.75">
      <c r="A8" s="170"/>
      <c r="B8" s="170">
        <v>0.01</v>
      </c>
      <c r="C8" s="170"/>
      <c r="D8" s="170">
        <f aca="true" t="shared" si="0" ref="D8:D71">NORMINV(B8/100,$D$3,$D$4)</f>
        <v>174.01418123531894</v>
      </c>
      <c r="E8" s="179"/>
      <c r="F8" s="170"/>
      <c r="H8" s="19"/>
    </row>
    <row r="9" spans="1:8" ht="12.75">
      <c r="A9" s="170"/>
      <c r="B9" s="170">
        <v>0.1</v>
      </c>
      <c r="C9" s="170"/>
      <c r="D9" s="170">
        <f t="shared" si="0"/>
        <v>213.0396846536952</v>
      </c>
      <c r="E9" s="179"/>
      <c r="F9" s="170"/>
      <c r="H9" s="19"/>
    </row>
    <row r="10" spans="1:8" ht="12.75">
      <c r="A10" s="170"/>
      <c r="B10" s="170">
        <v>0.2</v>
      </c>
      <c r="C10" s="170"/>
      <c r="D10" s="170">
        <f t="shared" si="0"/>
        <v>226.2013432298799</v>
      </c>
      <c r="E10" s="179"/>
      <c r="F10" s="170"/>
      <c r="H10" s="19"/>
    </row>
    <row r="11" spans="1:8" ht="12.75">
      <c r="A11" s="170"/>
      <c r="B11" s="170">
        <v>0.3</v>
      </c>
      <c r="C11" s="170"/>
      <c r="D11" s="170">
        <f t="shared" si="0"/>
        <v>234.2929842351846</v>
      </c>
      <c r="E11" s="179"/>
      <c r="F11" s="170"/>
      <c r="H11" s="19"/>
    </row>
    <row r="12" spans="1:8" ht="12.75">
      <c r="A12" s="170"/>
      <c r="B12" s="170">
        <v>0.4</v>
      </c>
      <c r="C12" s="170"/>
      <c r="D12" s="170">
        <f t="shared" si="0"/>
        <v>240.2329717868077</v>
      </c>
      <c r="E12" s="179"/>
      <c r="F12" s="170"/>
      <c r="H12" s="19"/>
    </row>
    <row r="13" spans="1:8" ht="12.75">
      <c r="A13" s="180"/>
      <c r="B13" s="170">
        <v>0.5</v>
      </c>
      <c r="C13" s="181"/>
      <c r="D13" s="170">
        <f t="shared" si="0"/>
        <v>244.9645332636846</v>
      </c>
      <c r="E13" s="179"/>
      <c r="F13" s="170"/>
      <c r="H13" s="19"/>
    </row>
    <row r="14" spans="1:8" ht="12.75">
      <c r="A14" s="170"/>
      <c r="B14" s="170">
        <v>0.6</v>
      </c>
      <c r="C14" s="170"/>
      <c r="D14" s="170">
        <f t="shared" si="0"/>
        <v>248.91687037468387</v>
      </c>
      <c r="E14" s="179"/>
      <c r="F14" s="170"/>
      <c r="H14" s="19"/>
    </row>
    <row r="15" spans="1:8" ht="12.75">
      <c r="A15" s="170"/>
      <c r="B15" s="170">
        <v>0.7</v>
      </c>
      <c r="C15" s="170"/>
      <c r="D15" s="170">
        <f t="shared" si="0"/>
        <v>252.3228117554039</v>
      </c>
      <c r="E15" s="179"/>
      <c r="F15" s="170"/>
      <c r="H15" s="19"/>
    </row>
    <row r="16" spans="1:8" ht="13.5" thickBot="1">
      <c r="A16" s="170"/>
      <c r="B16" s="170">
        <v>0.8</v>
      </c>
      <c r="C16" s="170"/>
      <c r="D16" s="170">
        <f t="shared" si="0"/>
        <v>255.32329828150094</v>
      </c>
      <c r="E16" s="179"/>
      <c r="F16" s="170"/>
      <c r="H16" s="19"/>
    </row>
    <row r="17" spans="1:15" ht="13.5" thickBot="1">
      <c r="A17" s="170"/>
      <c r="B17" s="180">
        <v>1</v>
      </c>
      <c r="C17" s="169">
        <f>O17</f>
        <v>262.0015</v>
      </c>
      <c r="D17" s="170">
        <f t="shared" si="0"/>
        <v>260.44746636813613</v>
      </c>
      <c r="E17" s="179">
        <f>D17-C17</f>
        <v>-1.5540336318638879</v>
      </c>
      <c r="F17" s="170">
        <f>E17*E17</f>
        <v>2.4150205289640656</v>
      </c>
      <c r="H17" s="19"/>
      <c r="O17" s="268">
        <v>262.0015</v>
      </c>
    </row>
    <row r="18" spans="1:15" ht="13.5" thickBot="1">
      <c r="A18" s="170"/>
      <c r="B18" s="180">
        <v>2</v>
      </c>
      <c r="C18" s="169">
        <f aca="true" t="shared" si="1" ref="C18:C81">O18</f>
        <v>274.683</v>
      </c>
      <c r="D18" s="170">
        <f t="shared" si="0"/>
        <v>277.36491924361076</v>
      </c>
      <c r="E18" s="179">
        <f aca="true" t="shared" si="2" ref="E18:E81">D18-C18</f>
        <v>2.681919243610764</v>
      </c>
      <c r="F18" s="170">
        <f aca="true" t="shared" si="3" ref="F18:F81">E18*E18</f>
        <v>7.192690829249734</v>
      </c>
      <c r="H18" s="19"/>
      <c r="O18" s="268">
        <v>274.683</v>
      </c>
    </row>
    <row r="19" spans="1:15" ht="13.5" thickBot="1">
      <c r="A19" s="170"/>
      <c r="B19" s="180">
        <v>3</v>
      </c>
      <c r="C19" s="169">
        <f t="shared" si="1"/>
        <v>283.986</v>
      </c>
      <c r="D19" s="170">
        <f t="shared" si="0"/>
        <v>288.0984534102039</v>
      </c>
      <c r="E19" s="179">
        <f t="shared" si="2"/>
        <v>4.112453410203898</v>
      </c>
      <c r="F19" s="170">
        <f t="shared" si="3"/>
        <v>16.91227305109767</v>
      </c>
      <c r="H19" s="19"/>
      <c r="O19" s="268">
        <v>283.986</v>
      </c>
    </row>
    <row r="20" spans="1:15" ht="13.5" thickBot="1">
      <c r="A20" s="170"/>
      <c r="B20" s="180">
        <v>4</v>
      </c>
      <c r="C20" s="169">
        <f t="shared" si="1"/>
        <v>295.6242</v>
      </c>
      <c r="D20" s="170">
        <f t="shared" si="0"/>
        <v>296.1728651427444</v>
      </c>
      <c r="E20" s="179">
        <f t="shared" si="2"/>
        <v>0.5486651427444258</v>
      </c>
      <c r="F20" s="170">
        <f t="shared" si="3"/>
        <v>0.3010334388627611</v>
      </c>
      <c r="H20" s="19"/>
      <c r="O20" s="268">
        <v>295.6242</v>
      </c>
    </row>
    <row r="21" spans="1:15" ht="13.5" thickBot="1">
      <c r="A21" s="170"/>
      <c r="B21" s="180">
        <v>5</v>
      </c>
      <c r="C21" s="169">
        <f t="shared" si="1"/>
        <v>301.8929</v>
      </c>
      <c r="D21" s="170">
        <f t="shared" si="0"/>
        <v>302.74077719963486</v>
      </c>
      <c r="E21" s="179">
        <f t="shared" si="2"/>
        <v>0.8478771996348655</v>
      </c>
      <c r="F21" s="170">
        <f t="shared" si="3"/>
        <v>0.7188957456606616</v>
      </c>
      <c r="H21" s="19"/>
      <c r="O21" s="268">
        <v>301.8929</v>
      </c>
    </row>
    <row r="22" spans="1:15" ht="13.5" thickBot="1">
      <c r="A22" s="170"/>
      <c r="B22" s="180">
        <v>6</v>
      </c>
      <c r="C22" s="169">
        <f t="shared" si="1"/>
        <v>310.949</v>
      </c>
      <c r="D22" s="170">
        <f t="shared" si="0"/>
        <v>308.33110522027454</v>
      </c>
      <c r="E22" s="179">
        <f t="shared" si="2"/>
        <v>-2.617894779725475</v>
      </c>
      <c r="F22" s="170">
        <f t="shared" si="3"/>
        <v>6.8533730777138935</v>
      </c>
      <c r="H22" s="19"/>
      <c r="O22" s="268">
        <v>310.949</v>
      </c>
    </row>
    <row r="23" spans="1:15" ht="13.5" thickBot="1">
      <c r="A23" s="170"/>
      <c r="B23" s="180">
        <v>7</v>
      </c>
      <c r="C23" s="169">
        <f t="shared" si="1"/>
        <v>315.1637</v>
      </c>
      <c r="D23" s="170">
        <f t="shared" si="0"/>
        <v>313.23273290774944</v>
      </c>
      <c r="E23" s="179">
        <f t="shared" si="2"/>
        <v>-1.9309670922505688</v>
      </c>
      <c r="F23" s="170">
        <f t="shared" si="3"/>
        <v>3.728633911354617</v>
      </c>
      <c r="H23" s="19"/>
      <c r="O23" s="268">
        <v>315.1637</v>
      </c>
    </row>
    <row r="24" spans="1:15" ht="13.5" thickBot="1">
      <c r="A24" s="170"/>
      <c r="B24" s="180">
        <v>8</v>
      </c>
      <c r="C24" s="169">
        <f t="shared" si="1"/>
        <v>318.524</v>
      </c>
      <c r="D24" s="170">
        <f t="shared" si="0"/>
        <v>317.6215591961624</v>
      </c>
      <c r="E24" s="179">
        <f t="shared" si="2"/>
        <v>-0.9024408038375782</v>
      </c>
      <c r="F24" s="170">
        <f t="shared" si="3"/>
        <v>0.8143994044310142</v>
      </c>
      <c r="H24" s="19"/>
      <c r="O24" s="268">
        <v>318.524</v>
      </c>
    </row>
    <row r="25" spans="1:15" ht="13.5" thickBot="1">
      <c r="A25" s="170"/>
      <c r="B25" s="180">
        <v>9</v>
      </c>
      <c r="C25" s="169">
        <f t="shared" si="1"/>
        <v>323.2087</v>
      </c>
      <c r="D25" s="170">
        <f t="shared" si="0"/>
        <v>321.6130239284755</v>
      </c>
      <c r="E25" s="179">
        <f t="shared" si="2"/>
        <v>-1.5956760715245082</v>
      </c>
      <c r="F25" s="170">
        <f t="shared" si="3"/>
        <v>2.5461821252358874</v>
      </c>
      <c r="H25" s="19"/>
      <c r="O25" s="268">
        <v>323.2087</v>
      </c>
    </row>
    <row r="26" spans="1:15" ht="13.5" thickBot="1">
      <c r="A26" s="170"/>
      <c r="B26" s="180">
        <v>10</v>
      </c>
      <c r="C26" s="169">
        <f t="shared" si="1"/>
        <v>326.1363</v>
      </c>
      <c r="D26" s="170">
        <f t="shared" si="0"/>
        <v>325.2871760349078</v>
      </c>
      <c r="E26" s="179">
        <f t="shared" si="2"/>
        <v>-0.8491239650921898</v>
      </c>
      <c r="F26" s="170">
        <f t="shared" si="3"/>
        <v>0.7210115080938824</v>
      </c>
      <c r="H26" s="19"/>
      <c r="O26" s="268">
        <v>326.1363</v>
      </c>
    </row>
    <row r="27" spans="1:15" ht="13.5" thickBot="1">
      <c r="A27" s="170"/>
      <c r="B27" s="180">
        <v>11</v>
      </c>
      <c r="C27" s="169">
        <f t="shared" si="1"/>
        <v>329.0339</v>
      </c>
      <c r="D27" s="170">
        <f t="shared" si="0"/>
        <v>328.7019187785525</v>
      </c>
      <c r="E27" s="179">
        <f t="shared" si="2"/>
        <v>-0.3319812214475064</v>
      </c>
      <c r="F27" s="170">
        <f t="shared" si="3"/>
        <v>0.11021153139377829</v>
      </c>
      <c r="H27" s="19"/>
      <c r="O27" s="268">
        <v>329.0339</v>
      </c>
    </row>
    <row r="28" spans="1:15" ht="13.5" thickBot="1">
      <c r="A28" s="170"/>
      <c r="B28" s="180">
        <v>12</v>
      </c>
      <c r="C28" s="169">
        <f t="shared" si="1"/>
        <v>331.0233</v>
      </c>
      <c r="D28" s="170">
        <f t="shared" si="0"/>
        <v>331.9005634054972</v>
      </c>
      <c r="E28" s="179">
        <f t="shared" si="2"/>
        <v>0.8772634054972173</v>
      </c>
      <c r="F28" s="170">
        <f t="shared" si="3"/>
        <v>0.7695910826245751</v>
      </c>
      <c r="H28" s="19"/>
      <c r="O28" s="268">
        <v>331.0233</v>
      </c>
    </row>
    <row r="29" spans="1:15" ht="13.5" thickBot="1">
      <c r="A29" s="177"/>
      <c r="B29" s="180">
        <v>13</v>
      </c>
      <c r="C29" s="169">
        <f t="shared" si="1"/>
        <v>334.5376</v>
      </c>
      <c r="D29" s="170">
        <f t="shared" si="0"/>
        <v>334.9164015719587</v>
      </c>
      <c r="E29" s="179">
        <f t="shared" si="2"/>
        <v>0.3788015719587179</v>
      </c>
      <c r="F29" s="170">
        <f t="shared" si="3"/>
        <v>0.14349063091839573</v>
      </c>
      <c r="H29" s="19"/>
      <c r="O29" s="268">
        <v>334.5376</v>
      </c>
    </row>
    <row r="30" spans="1:15" ht="13.5" thickBot="1">
      <c r="A30" s="170"/>
      <c r="B30" s="180">
        <v>14</v>
      </c>
      <c r="C30" s="169">
        <f t="shared" si="1"/>
        <v>339.6213</v>
      </c>
      <c r="D30" s="170">
        <f t="shared" si="0"/>
        <v>337.77560910212515</v>
      </c>
      <c r="E30" s="179">
        <f t="shared" si="2"/>
        <v>-1.8456908978748743</v>
      </c>
      <c r="F30" s="170">
        <f t="shared" si="3"/>
        <v>3.4065748904981596</v>
      </c>
      <c r="H30" s="19"/>
      <c r="O30" s="268">
        <v>339.6213</v>
      </c>
    </row>
    <row r="31" spans="1:15" ht="13.5" thickBot="1">
      <c r="A31" s="177"/>
      <c r="B31" s="180">
        <v>15</v>
      </c>
      <c r="C31" s="169">
        <f t="shared" si="1"/>
        <v>341.4859</v>
      </c>
      <c r="D31" s="170">
        <f t="shared" si="0"/>
        <v>340.49916425167476</v>
      </c>
      <c r="E31" s="179">
        <f t="shared" si="2"/>
        <v>-0.986735748325259</v>
      </c>
      <c r="F31" s="170">
        <f t="shared" si="3"/>
        <v>0.9736474370230089</v>
      </c>
      <c r="H31" s="19"/>
      <c r="O31" s="268">
        <v>341.4859</v>
      </c>
    </row>
    <row r="32" spans="1:15" ht="13.5" thickBot="1">
      <c r="A32" s="177"/>
      <c r="B32" s="180">
        <v>16</v>
      </c>
      <c r="C32" s="169">
        <f t="shared" si="1"/>
        <v>342.7529</v>
      </c>
      <c r="D32" s="170">
        <f t="shared" si="0"/>
        <v>343.1041575404113</v>
      </c>
      <c r="E32" s="179">
        <f t="shared" si="2"/>
        <v>0.3512575404112681</v>
      </c>
      <c r="F32" s="170">
        <f t="shared" si="3"/>
        <v>0.12338185969577364</v>
      </c>
      <c r="H32" s="19"/>
      <c r="O32" s="268">
        <v>342.7529</v>
      </c>
    </row>
    <row r="33" spans="1:15" ht="13.5" thickBot="1">
      <c r="A33" s="177"/>
      <c r="B33" s="180">
        <v>17</v>
      </c>
      <c r="C33" s="169">
        <f t="shared" si="1"/>
        <v>344.811</v>
      </c>
      <c r="D33" s="170">
        <f t="shared" si="0"/>
        <v>345.60471165285895</v>
      </c>
      <c r="E33" s="179">
        <f t="shared" si="2"/>
        <v>0.793711652858974</v>
      </c>
      <c r="F33" s="170">
        <f t="shared" si="3"/>
        <v>0.6299781878841245</v>
      </c>
      <c r="H33" s="19"/>
      <c r="O33" s="268">
        <v>344.811</v>
      </c>
    </row>
    <row r="34" spans="1:15" ht="13.5" thickBot="1">
      <c r="A34" s="182"/>
      <c r="B34" s="180">
        <v>18</v>
      </c>
      <c r="C34" s="169">
        <f t="shared" si="1"/>
        <v>348.5454</v>
      </c>
      <c r="D34" s="170">
        <f t="shared" si="0"/>
        <v>348.0126433404565</v>
      </c>
      <c r="E34" s="179">
        <f t="shared" si="2"/>
        <v>-0.5327566595434519</v>
      </c>
      <c r="F34" s="170">
        <f t="shared" si="3"/>
        <v>0.28382965828789747</v>
      </c>
      <c r="H34" s="19"/>
      <c r="O34" s="268">
        <v>348.5454</v>
      </c>
    </row>
    <row r="35" spans="1:15" ht="13.5" thickBot="1">
      <c r="A35" s="182"/>
      <c r="B35" s="180">
        <v>19</v>
      </c>
      <c r="C35" s="169">
        <f t="shared" si="1"/>
        <v>351.303</v>
      </c>
      <c r="D35" s="170">
        <f t="shared" si="0"/>
        <v>350.3379498485135</v>
      </c>
      <c r="E35" s="179">
        <f t="shared" si="2"/>
        <v>-0.96505015148648</v>
      </c>
      <c r="F35" s="170">
        <f t="shared" si="3"/>
        <v>0.931321794884078</v>
      </c>
      <c r="H35" s="19"/>
      <c r="O35" s="268">
        <v>351.303</v>
      </c>
    </row>
    <row r="36" spans="1:15" ht="13.5" thickBot="1">
      <c r="A36" s="170"/>
      <c r="B36" s="180">
        <v>20</v>
      </c>
      <c r="C36" s="169">
        <f t="shared" si="1"/>
        <v>353.2504</v>
      </c>
      <c r="D36" s="170">
        <f t="shared" si="0"/>
        <v>352.5891730878425</v>
      </c>
      <c r="E36" s="179">
        <f t="shared" si="2"/>
        <v>-0.6612269121575309</v>
      </c>
      <c r="F36" s="170">
        <f t="shared" si="3"/>
        <v>0.43722102936138313</v>
      </c>
      <c r="H36" s="19"/>
      <c r="O36" s="268">
        <v>353.2504</v>
      </c>
    </row>
    <row r="37" spans="1:15" ht="13.5" thickBot="1">
      <c r="A37" s="183"/>
      <c r="B37" s="180">
        <v>21</v>
      </c>
      <c r="C37" s="169">
        <f t="shared" si="1"/>
        <v>355.1418</v>
      </c>
      <c r="D37" s="170">
        <f t="shared" si="0"/>
        <v>354.7736768045006</v>
      </c>
      <c r="E37" s="179">
        <f t="shared" si="2"/>
        <v>-0.3681231954993791</v>
      </c>
      <c r="F37" s="170">
        <f t="shared" si="3"/>
        <v>0.1355146870646741</v>
      </c>
      <c r="H37" s="19"/>
      <c r="O37" s="268">
        <v>355.1418</v>
      </c>
    </row>
    <row r="38" spans="1:15" ht="13.5" thickBot="1">
      <c r="A38" s="182"/>
      <c r="B38" s="180">
        <v>22</v>
      </c>
      <c r="C38" s="169">
        <f t="shared" si="1"/>
        <v>356.6511</v>
      </c>
      <c r="D38" s="170">
        <f t="shared" si="0"/>
        <v>356.89786065889643</v>
      </c>
      <c r="E38" s="179">
        <f t="shared" si="2"/>
        <v>0.2467606588964486</v>
      </c>
      <c r="F38" s="170">
        <f t="shared" si="3"/>
        <v>0.06089082277900946</v>
      </c>
      <c r="H38" s="19"/>
      <c r="O38" s="268">
        <v>356.6511</v>
      </c>
    </row>
    <row r="39" spans="1:15" ht="13.5" thickBot="1">
      <c r="A39" s="173"/>
      <c r="B39" s="180">
        <v>23</v>
      </c>
      <c r="C39" s="169">
        <f t="shared" si="1"/>
        <v>358.193</v>
      </c>
      <c r="D39" s="170">
        <f t="shared" si="0"/>
        <v>358.96732777763935</v>
      </c>
      <c r="E39" s="179">
        <f t="shared" si="2"/>
        <v>0.7743277776393711</v>
      </c>
      <c r="F39" s="170">
        <f t="shared" si="3"/>
        <v>0.5995835072239274</v>
      </c>
      <c r="H39" s="19"/>
      <c r="O39" s="268">
        <v>358.193</v>
      </c>
    </row>
    <row r="40" spans="1:15" ht="13.5" thickBot="1">
      <c r="A40" s="170"/>
      <c r="B40" s="180">
        <v>24</v>
      </c>
      <c r="C40" s="169">
        <f t="shared" si="1"/>
        <v>360.5838</v>
      </c>
      <c r="D40" s="170">
        <f t="shared" si="0"/>
        <v>360.987017470215</v>
      </c>
      <c r="E40" s="179">
        <f t="shared" si="2"/>
        <v>0.4032174702149973</v>
      </c>
      <c r="F40" s="170">
        <f t="shared" si="3"/>
        <v>0.16258432828658226</v>
      </c>
      <c r="H40" s="19"/>
      <c r="O40" s="268">
        <v>360.5838</v>
      </c>
    </row>
    <row r="41" spans="1:15" ht="13.5" thickBot="1">
      <c r="A41" s="177"/>
      <c r="B41" s="180">
        <v>25</v>
      </c>
      <c r="C41" s="169">
        <f t="shared" si="1"/>
        <v>363.6997</v>
      </c>
      <c r="D41" s="170">
        <f t="shared" si="0"/>
        <v>362.96131150556374</v>
      </c>
      <c r="E41" s="179">
        <f t="shared" si="2"/>
        <v>-0.7383884944362649</v>
      </c>
      <c r="F41" s="170">
        <f t="shared" si="3"/>
        <v>0.5452175687158539</v>
      </c>
      <c r="H41" s="19"/>
      <c r="O41" s="268">
        <v>363.6997</v>
      </c>
    </row>
    <row r="42" spans="1:15" ht="13.5" thickBot="1">
      <c r="A42" s="173"/>
      <c r="B42" s="180">
        <v>26</v>
      </c>
      <c r="C42" s="169">
        <f t="shared" si="1"/>
        <v>365.6819</v>
      </c>
      <c r="D42" s="170">
        <f t="shared" si="0"/>
        <v>364.89412007005285</v>
      </c>
      <c r="E42" s="179">
        <f t="shared" si="2"/>
        <v>-0.7877799299471349</v>
      </c>
      <c r="F42" s="170">
        <f t="shared" si="3"/>
        <v>0.6205972180275127</v>
      </c>
      <c r="H42" s="19"/>
      <c r="O42" s="268">
        <v>365.6819</v>
      </c>
    </row>
    <row r="43" spans="1:15" ht="13.5" thickBot="1">
      <c r="A43" s="177"/>
      <c r="B43" s="180">
        <v>27</v>
      </c>
      <c r="C43" s="169">
        <f t="shared" si="1"/>
        <v>367.0356</v>
      </c>
      <c r="D43" s="170">
        <f t="shared" si="0"/>
        <v>366.78895193366264</v>
      </c>
      <c r="E43" s="179">
        <f t="shared" si="2"/>
        <v>-0.24664806633734315</v>
      </c>
      <c r="F43" s="170">
        <f t="shared" si="3"/>
        <v>0.060835268627950426</v>
      </c>
      <c r="H43" s="19"/>
      <c r="O43" s="268">
        <v>367.0356</v>
      </c>
    </row>
    <row r="44" spans="1:15" ht="13.5" thickBot="1">
      <c r="A44" s="170"/>
      <c r="B44" s="180">
        <v>28</v>
      </c>
      <c r="C44" s="169">
        <f t="shared" si="1"/>
        <v>368.4235</v>
      </c>
      <c r="D44" s="170">
        <f t="shared" si="0"/>
        <v>368.6489722152967</v>
      </c>
      <c r="E44" s="179">
        <f t="shared" si="2"/>
        <v>0.2254722152966906</v>
      </c>
      <c r="F44" s="170">
        <f t="shared" si="3"/>
        <v>0.050837719870797195</v>
      </c>
      <c r="H44" s="19"/>
      <c r="O44" s="268">
        <v>368.4235</v>
      </c>
    </row>
    <row r="45" spans="1:15" ht="13.5" thickBot="1">
      <c r="A45" s="182"/>
      <c r="B45" s="180">
        <v>29</v>
      </c>
      <c r="C45" s="169">
        <f t="shared" si="1"/>
        <v>370.1883</v>
      </c>
      <c r="D45" s="170">
        <f t="shared" si="0"/>
        <v>370.47705031747313</v>
      </c>
      <c r="E45" s="179">
        <f t="shared" si="2"/>
        <v>0.2887503174731023</v>
      </c>
      <c r="F45" s="170">
        <f t="shared" si="3"/>
        <v>0.08337674584081738</v>
      </c>
      <c r="H45" s="19"/>
      <c r="O45" s="268">
        <v>370.1883</v>
      </c>
    </row>
    <row r="46" spans="1:15" ht="13.5" thickBot="1">
      <c r="A46" s="184"/>
      <c r="B46" s="180">
        <v>30</v>
      </c>
      <c r="C46" s="169">
        <f t="shared" si="1"/>
        <v>372.2758</v>
      </c>
      <c r="D46" s="170">
        <f t="shared" si="0"/>
        <v>372.2758</v>
      </c>
      <c r="E46" s="179">
        <f t="shared" si="2"/>
        <v>0</v>
      </c>
      <c r="F46" s="170">
        <f t="shared" si="3"/>
        <v>0</v>
      </c>
      <c r="H46" s="19"/>
      <c r="O46" s="268">
        <v>372.2758</v>
      </c>
    </row>
    <row r="47" spans="1:15" ht="13.5" thickBot="1">
      <c r="A47" s="170">
        <f>NORMINV(B47/100,D$3,D$4)</f>
        <v>374.0476131173199</v>
      </c>
      <c r="B47" s="180">
        <v>31</v>
      </c>
      <c r="C47" s="169">
        <f t="shared" si="1"/>
        <v>374.5682</v>
      </c>
      <c r="D47" s="170">
        <f t="shared" si="0"/>
        <v>374.0476131173199</v>
      </c>
      <c r="E47" s="179">
        <f t="shared" si="2"/>
        <v>-0.5205868826801066</v>
      </c>
      <c r="F47" s="170">
        <f t="shared" si="3"/>
        <v>0.27101070241859104</v>
      </c>
      <c r="H47" s="19"/>
      <c r="O47" s="268">
        <v>374.5682</v>
      </c>
    </row>
    <row r="48" spans="1:15" ht="13.5" thickBot="1">
      <c r="A48" s="173"/>
      <c r="B48" s="180">
        <v>32</v>
      </c>
      <c r="C48" s="169">
        <f t="shared" si="1"/>
        <v>376.6769</v>
      </c>
      <c r="D48" s="170">
        <f t="shared" si="0"/>
        <v>375.79468821097674</v>
      </c>
      <c r="E48" s="179">
        <f t="shared" si="2"/>
        <v>-0.8822117890232448</v>
      </c>
      <c r="F48" s="170">
        <f t="shared" si="3"/>
        <v>0.7782976406915942</v>
      </c>
      <c r="H48" s="19"/>
      <c r="O48" s="268">
        <v>376.6769</v>
      </c>
    </row>
    <row r="49" spans="1:15" ht="13.5" thickBot="1">
      <c r="A49" s="184"/>
      <c r="B49" s="180">
        <v>33</v>
      </c>
      <c r="C49" s="169">
        <f t="shared" si="1"/>
        <v>378.968</v>
      </c>
      <c r="D49" s="170">
        <f t="shared" si="0"/>
        <v>377.51905489651006</v>
      </c>
      <c r="E49" s="179">
        <f t="shared" si="2"/>
        <v>-1.4489451034899616</v>
      </c>
      <c r="F49" s="170">
        <f t="shared" si="3"/>
        <v>2.0994419129275355</v>
      </c>
      <c r="H49" s="19"/>
      <c r="O49" s="268">
        <v>378.968</v>
      </c>
    </row>
    <row r="50" spans="1:15" ht="13.5" thickBot="1">
      <c r="A50" s="182"/>
      <c r="B50" s="180">
        <v>34</v>
      </c>
      <c r="C50" s="169">
        <f t="shared" si="1"/>
        <v>380.822</v>
      </c>
      <c r="D50" s="170">
        <f t="shared" si="0"/>
        <v>379.2225947914732</v>
      </c>
      <c r="E50" s="179">
        <f t="shared" si="2"/>
        <v>-1.5994052085267754</v>
      </c>
      <c r="F50" s="170">
        <f t="shared" si="3"/>
        <v>2.558097021062578</v>
      </c>
      <c r="H50" s="19"/>
      <c r="O50" s="268">
        <v>380.822</v>
      </c>
    </row>
    <row r="51" spans="1:15" ht="13.5" thickBot="1">
      <c r="A51" s="170"/>
      <c r="B51" s="180">
        <v>35</v>
      </c>
      <c r="C51" s="169">
        <f t="shared" si="1"/>
        <v>382.0164</v>
      </c>
      <c r="D51" s="170">
        <f t="shared" si="0"/>
        <v>380.90705958283587</v>
      </c>
      <c r="E51" s="179">
        <f t="shared" si="2"/>
        <v>-1.1093404171641055</v>
      </c>
      <c r="F51" s="170">
        <f t="shared" si="3"/>
        <v>1.2306361611538315</v>
      </c>
      <c r="H51" s="19"/>
      <c r="O51" s="268">
        <v>382.0164</v>
      </c>
    </row>
    <row r="52" spans="1:15" ht="13.5" thickBot="1">
      <c r="A52" s="182"/>
      <c r="B52" s="180">
        <v>36</v>
      </c>
      <c r="C52" s="169">
        <f t="shared" si="1"/>
        <v>382.899</v>
      </c>
      <c r="D52" s="170">
        <f t="shared" si="0"/>
        <v>382.5740867167078</v>
      </c>
      <c r="E52" s="179">
        <f t="shared" si="2"/>
        <v>-0.32491328329217595</v>
      </c>
      <c r="F52" s="170">
        <f t="shared" si="3"/>
        <v>0.10556864165970178</v>
      </c>
      <c r="H52" s="19"/>
      <c r="O52" s="268">
        <v>382.899</v>
      </c>
    </row>
    <row r="53" spans="1:15" ht="13.5" thickBot="1">
      <c r="A53" s="182"/>
      <c r="B53" s="180">
        <v>37</v>
      </c>
      <c r="C53" s="169">
        <f t="shared" si="1"/>
        <v>383.6997</v>
      </c>
      <c r="D53" s="170">
        <f t="shared" si="0"/>
        <v>384.22521310304194</v>
      </c>
      <c r="E53" s="179">
        <f t="shared" si="2"/>
        <v>0.5255131030419307</v>
      </c>
      <c r="F53" s="170">
        <f t="shared" si="3"/>
        <v>0.27616402146875885</v>
      </c>
      <c r="H53" s="19"/>
      <c r="O53" s="268">
        <v>383.6997</v>
      </c>
    </row>
    <row r="54" spans="1:15" ht="13.5" thickBot="1">
      <c r="A54" s="170"/>
      <c r="B54" s="180">
        <v>38</v>
      </c>
      <c r="C54" s="169">
        <f t="shared" si="1"/>
        <v>384.8217</v>
      </c>
      <c r="D54" s="170">
        <f t="shared" si="0"/>
        <v>385.86188715680635</v>
      </c>
      <c r="E54" s="179">
        <f t="shared" si="2"/>
        <v>1.0401871568063257</v>
      </c>
      <c r="F54" s="170">
        <f t="shared" si="3"/>
        <v>1.0819893211848275</v>
      </c>
      <c r="H54" s="19"/>
      <c r="O54" s="268">
        <v>384.8217</v>
      </c>
    </row>
    <row r="55" spans="1:15" ht="13.5" thickBot="1">
      <c r="A55" s="182"/>
      <c r="B55" s="180">
        <v>39</v>
      </c>
      <c r="C55" s="169">
        <f t="shared" si="1"/>
        <v>386.3677</v>
      </c>
      <c r="D55" s="170">
        <f t="shared" si="0"/>
        <v>387.48547944065996</v>
      </c>
      <c r="E55" s="179">
        <f t="shared" si="2"/>
        <v>1.1177794406599446</v>
      </c>
      <c r="F55" s="170">
        <f t="shared" si="3"/>
        <v>1.2494308779620587</v>
      </c>
      <c r="H55" s="19"/>
      <c r="O55" s="268">
        <v>386.3677</v>
      </c>
    </row>
    <row r="56" spans="1:15" ht="13.5" thickBot="1">
      <c r="A56" s="170"/>
      <c r="B56" s="180">
        <v>40</v>
      </c>
      <c r="C56" s="169">
        <f t="shared" si="1"/>
        <v>388.2102</v>
      </c>
      <c r="D56" s="170">
        <f t="shared" si="0"/>
        <v>389.09729212912134</v>
      </c>
      <c r="E56" s="179">
        <f t="shared" si="2"/>
        <v>0.8870921291213563</v>
      </c>
      <c r="F56" s="170">
        <f t="shared" si="3"/>
        <v>0.786932445549061</v>
      </c>
      <c r="H56" s="19"/>
      <c r="O56" s="268">
        <v>388.2102</v>
      </c>
    </row>
    <row r="57" spans="1:15" ht="13.5" thickBot="1">
      <c r="A57" s="173"/>
      <c r="B57" s="180">
        <v>41</v>
      </c>
      <c r="C57" s="169">
        <f t="shared" si="1"/>
        <v>389.8105</v>
      </c>
      <c r="D57" s="170">
        <f t="shared" si="0"/>
        <v>390.69856747809877</v>
      </c>
      <c r="E57" s="179">
        <f t="shared" si="2"/>
        <v>0.8880674780987761</v>
      </c>
      <c r="F57" s="170">
        <f t="shared" si="3"/>
        <v>0.7886638456567201</v>
      </c>
      <c r="H57" s="19"/>
      <c r="O57" s="268">
        <v>389.8105</v>
      </c>
    </row>
    <row r="58" spans="1:15" ht="13.5" thickBot="1">
      <c r="A58" s="182"/>
      <c r="B58" s="180">
        <v>42</v>
      </c>
      <c r="C58" s="169">
        <f t="shared" si="1"/>
        <v>391.1902</v>
      </c>
      <c r="D58" s="170">
        <f t="shared" si="0"/>
        <v>392.29049545455734</v>
      </c>
      <c r="E58" s="179">
        <f t="shared" si="2"/>
        <v>1.1002954545573402</v>
      </c>
      <c r="F58" s="170">
        <f t="shared" si="3"/>
        <v>1.210650087319544</v>
      </c>
      <c r="H58" s="19"/>
      <c r="O58" s="268">
        <v>391.1902</v>
      </c>
    </row>
    <row r="59" spans="1:15" ht="13.5" thickBot="1">
      <c r="A59" s="182"/>
      <c r="B59" s="180">
        <v>43</v>
      </c>
      <c r="C59" s="169">
        <f t="shared" si="1"/>
        <v>392.391</v>
      </c>
      <c r="D59" s="170">
        <f t="shared" si="0"/>
        <v>393.8742206575954</v>
      </c>
      <c r="E59" s="179">
        <f t="shared" si="2"/>
        <v>1.483220657595382</v>
      </c>
      <c r="F59" s="170">
        <f t="shared" si="3"/>
        <v>2.199943519117677</v>
      </c>
      <c r="H59" s="19"/>
      <c r="O59" s="268">
        <v>392.391</v>
      </c>
    </row>
    <row r="60" spans="1:15" ht="13.5" thickBot="1">
      <c r="A60" s="173"/>
      <c r="B60" s="180">
        <v>44</v>
      </c>
      <c r="C60" s="169">
        <f t="shared" si="1"/>
        <v>393.5501</v>
      </c>
      <c r="D60" s="170">
        <f t="shared" si="0"/>
        <v>395.45084864315714</v>
      </c>
      <c r="E60" s="179">
        <f t="shared" si="2"/>
        <v>1.9007486431571579</v>
      </c>
      <c r="F60" s="170">
        <f t="shared" si="3"/>
        <v>3.6128454044637768</v>
      </c>
      <c r="H60" s="19"/>
      <c r="O60" s="268">
        <v>393.5501</v>
      </c>
    </row>
    <row r="61" spans="1:15" ht="13.5" thickBot="1">
      <c r="A61" s="173"/>
      <c r="B61" s="180">
        <v>45</v>
      </c>
      <c r="C61" s="169">
        <f t="shared" si="1"/>
        <v>394.9005</v>
      </c>
      <c r="D61" s="170">
        <f t="shared" si="0"/>
        <v>397.02145174917774</v>
      </c>
      <c r="E61" s="179">
        <f t="shared" si="2"/>
        <v>2.1209517491777206</v>
      </c>
      <c r="F61" s="170">
        <f t="shared" si="3"/>
        <v>4.498436322340033</v>
      </c>
      <c r="H61" s="19"/>
      <c r="O61" s="268">
        <v>394.9005</v>
      </c>
    </row>
    <row r="62" spans="1:15" ht="13.5" thickBot="1">
      <c r="A62" s="184"/>
      <c r="B62" s="180">
        <v>46</v>
      </c>
      <c r="C62" s="169">
        <f t="shared" si="1"/>
        <v>396.2839</v>
      </c>
      <c r="D62" s="170">
        <f t="shared" si="0"/>
        <v>398.587074505455</v>
      </c>
      <c r="E62" s="179">
        <f t="shared" si="2"/>
        <v>2.30317450545499</v>
      </c>
      <c r="F62" s="170">
        <f t="shared" si="3"/>
        <v>5.3046128025778385</v>
      </c>
      <c r="H62" s="19"/>
      <c r="O62" s="268">
        <v>396.2839</v>
      </c>
    </row>
    <row r="63" spans="1:15" ht="13.5" thickBot="1">
      <c r="A63" s="184"/>
      <c r="B63" s="180">
        <v>47</v>
      </c>
      <c r="C63" s="169">
        <f t="shared" si="1"/>
        <v>397.8342</v>
      </c>
      <c r="D63" s="170">
        <f t="shared" si="0"/>
        <v>400.14873870245736</v>
      </c>
      <c r="E63" s="179">
        <f t="shared" si="2"/>
        <v>2.314538702457355</v>
      </c>
      <c r="F63" s="170">
        <f t="shared" si="3"/>
        <v>5.357089405172977</v>
      </c>
      <c r="H63" s="19"/>
      <c r="O63" s="268">
        <v>397.8342</v>
      </c>
    </row>
    <row r="64" spans="1:15" ht="13.5" thickBot="1">
      <c r="A64" s="184"/>
      <c r="B64" s="180">
        <v>48</v>
      </c>
      <c r="C64" s="169">
        <f t="shared" si="1"/>
        <v>399.4755</v>
      </c>
      <c r="D64" s="170">
        <f t="shared" si="0"/>
        <v>401.707448185197</v>
      </c>
      <c r="E64" s="179">
        <f t="shared" si="2"/>
        <v>2.231948185196984</v>
      </c>
      <c r="F64" s="170">
        <f t="shared" si="3"/>
        <v>4.981592701404111</v>
      </c>
      <c r="H64" s="19"/>
      <c r="O64" s="268">
        <v>399.4755</v>
      </c>
    </row>
    <row r="65" spans="1:15" ht="13.5" thickBot="1">
      <c r="A65" s="182"/>
      <c r="B65" s="180">
        <v>49</v>
      </c>
      <c r="C65" s="169">
        <f t="shared" si="1"/>
        <v>401.5133</v>
      </c>
      <c r="D65" s="170">
        <f t="shared" si="0"/>
        <v>403.2641934319117</v>
      </c>
      <c r="E65" s="179">
        <f t="shared" si="2"/>
        <v>1.7508934319116634</v>
      </c>
      <c r="F65" s="170">
        <f t="shared" si="3"/>
        <v>3.0656278099114025</v>
      </c>
      <c r="H65" s="19"/>
      <c r="O65" s="268">
        <v>401.5133</v>
      </c>
    </row>
    <row r="66" spans="1:15" ht="13.5" thickBot="1">
      <c r="A66" s="177"/>
      <c r="B66" s="180">
        <v>50</v>
      </c>
      <c r="C66" s="169">
        <f t="shared" si="1"/>
        <v>403.4594</v>
      </c>
      <c r="D66" s="170">
        <f t="shared" si="0"/>
        <v>404.8199560402709</v>
      </c>
      <c r="E66" s="179">
        <f t="shared" si="2"/>
        <v>1.3605560402708647</v>
      </c>
      <c r="F66" s="170">
        <f t="shared" si="3"/>
        <v>1.851112738717535</v>
      </c>
      <c r="H66" s="19"/>
      <c r="O66" s="268">
        <v>403.4594</v>
      </c>
    </row>
    <row r="67" spans="1:15" ht="13.5" thickBot="1">
      <c r="A67" s="177"/>
      <c r="B67" s="180">
        <v>51</v>
      </c>
      <c r="C67" s="169">
        <f t="shared" si="1"/>
        <v>404.8619</v>
      </c>
      <c r="D67" s="170">
        <f t="shared" si="0"/>
        <v>406.3757185807191</v>
      </c>
      <c r="E67" s="179">
        <f t="shared" si="2"/>
        <v>1.5138185807190894</v>
      </c>
      <c r="F67" s="170">
        <f t="shared" si="3"/>
        <v>2.2916466953303583</v>
      </c>
      <c r="H67" s="19"/>
      <c r="O67" s="268">
        <v>404.8619</v>
      </c>
    </row>
    <row r="68" spans="1:15" ht="13.5" thickBot="1">
      <c r="A68" s="182"/>
      <c r="B68" s="180">
        <v>52</v>
      </c>
      <c r="C68" s="169">
        <f t="shared" si="1"/>
        <v>406.1731</v>
      </c>
      <c r="D68" s="170">
        <f t="shared" si="0"/>
        <v>407.9324638274338</v>
      </c>
      <c r="E68" s="179">
        <f t="shared" si="2"/>
        <v>1.7593638274338446</v>
      </c>
      <c r="F68" s="170">
        <f t="shared" si="3"/>
        <v>3.095361077282667</v>
      </c>
      <c r="H68" s="19"/>
      <c r="O68" s="268">
        <v>406.1731</v>
      </c>
    </row>
    <row r="69" spans="1:15" ht="13.5" thickBot="1">
      <c r="A69" s="182"/>
      <c r="B69" s="180">
        <v>53</v>
      </c>
      <c r="C69" s="169">
        <f t="shared" si="1"/>
        <v>407.6082</v>
      </c>
      <c r="D69" s="170">
        <f t="shared" si="0"/>
        <v>409.49117331017345</v>
      </c>
      <c r="E69" s="179">
        <f t="shared" si="2"/>
        <v>1.8829733101734405</v>
      </c>
      <c r="F69" s="170">
        <f t="shared" si="3"/>
        <v>3.545588486825524</v>
      </c>
      <c r="H69" s="19"/>
      <c r="O69" s="268">
        <v>407.6082</v>
      </c>
    </row>
    <row r="70" spans="1:15" ht="13.5" thickBot="1">
      <c r="A70" s="170"/>
      <c r="B70" s="180">
        <v>54</v>
      </c>
      <c r="C70" s="169">
        <f t="shared" si="1"/>
        <v>409.1034</v>
      </c>
      <c r="D70" s="170">
        <f t="shared" si="0"/>
        <v>411.0528375071758</v>
      </c>
      <c r="E70" s="179">
        <f t="shared" si="2"/>
        <v>1.9494375071757872</v>
      </c>
      <c r="F70" s="170">
        <f t="shared" si="3"/>
        <v>3.8003065943837475</v>
      </c>
      <c r="H70" s="19"/>
      <c r="O70" s="268">
        <v>409.1034</v>
      </c>
    </row>
    <row r="71" spans="1:15" ht="13.5" thickBot="1">
      <c r="A71" s="182"/>
      <c r="B71" s="180">
        <v>55</v>
      </c>
      <c r="C71" s="169">
        <f t="shared" si="1"/>
        <v>411.0096</v>
      </c>
      <c r="D71" s="170">
        <f t="shared" si="0"/>
        <v>412.6184602634531</v>
      </c>
      <c r="E71" s="179">
        <f t="shared" si="2"/>
        <v>1.6088602634530957</v>
      </c>
      <c r="F71" s="170">
        <f t="shared" si="3"/>
        <v>2.5884313473183647</v>
      </c>
      <c r="H71" s="19"/>
      <c r="O71" s="268">
        <v>411.0096</v>
      </c>
    </row>
    <row r="72" spans="1:15" ht="13.5" thickBot="1">
      <c r="A72" s="173"/>
      <c r="B72" s="180">
        <v>56</v>
      </c>
      <c r="C72" s="169">
        <f t="shared" si="1"/>
        <v>412.9649</v>
      </c>
      <c r="D72" s="170">
        <f aca="true" t="shared" si="4" ref="D72:D126">NORMINV(B72/100,$D$3,$D$4)</f>
        <v>414.1890633694737</v>
      </c>
      <c r="E72" s="179">
        <f t="shared" si="2"/>
        <v>1.224163369473672</v>
      </c>
      <c r="F72" s="170">
        <f t="shared" si="3"/>
        <v>1.498575955161134</v>
      </c>
      <c r="H72" s="19"/>
      <c r="O72" s="268">
        <v>412.9649</v>
      </c>
    </row>
    <row r="73" spans="1:15" ht="13.5" thickBot="1">
      <c r="A73" s="170"/>
      <c r="B73" s="180">
        <v>57</v>
      </c>
      <c r="C73" s="169">
        <f t="shared" si="1"/>
        <v>414.791</v>
      </c>
      <c r="D73" s="170">
        <f t="shared" si="4"/>
        <v>415.76569135503536</v>
      </c>
      <c r="E73" s="179">
        <f t="shared" si="2"/>
        <v>0.9746913550353611</v>
      </c>
      <c r="F73" s="170">
        <f t="shared" si="3"/>
        <v>0.9500232375806683</v>
      </c>
      <c r="H73" s="19"/>
      <c r="O73" s="268">
        <v>414.791</v>
      </c>
    </row>
    <row r="74" spans="1:15" ht="13.5" thickBot="1">
      <c r="A74" s="182"/>
      <c r="B74" s="180">
        <v>58</v>
      </c>
      <c r="C74" s="169">
        <f t="shared" si="1"/>
        <v>417.1154</v>
      </c>
      <c r="D74" s="170">
        <f t="shared" si="4"/>
        <v>417.3494165580734</v>
      </c>
      <c r="E74" s="179">
        <f t="shared" si="2"/>
        <v>0.2340165580733924</v>
      </c>
      <c r="F74" s="170">
        <f t="shared" si="3"/>
        <v>0.054763749452517434</v>
      </c>
      <c r="H74" s="19"/>
      <c r="O74" s="268">
        <v>417.1154</v>
      </c>
    </row>
    <row r="75" spans="1:15" ht="13.5" thickBot="1">
      <c r="A75" s="184"/>
      <c r="B75" s="180">
        <v>59</v>
      </c>
      <c r="C75" s="169">
        <f t="shared" si="1"/>
        <v>418.5391</v>
      </c>
      <c r="D75" s="170">
        <f t="shared" si="4"/>
        <v>418.94134453453205</v>
      </c>
      <c r="E75" s="179">
        <f t="shared" si="2"/>
        <v>0.4022445345320307</v>
      </c>
      <c r="F75" s="170">
        <f t="shared" si="3"/>
        <v>0.16180066556089004</v>
      </c>
      <c r="H75" s="19"/>
      <c r="O75" s="268">
        <v>418.5391</v>
      </c>
    </row>
    <row r="76" spans="1:15" ht="13.5" thickBot="1">
      <c r="A76" s="177"/>
      <c r="B76" s="180">
        <v>60</v>
      </c>
      <c r="C76" s="169">
        <f t="shared" si="1"/>
        <v>419.6112</v>
      </c>
      <c r="D76" s="170">
        <f t="shared" si="4"/>
        <v>420.5426198835095</v>
      </c>
      <c r="E76" s="179">
        <f t="shared" si="2"/>
        <v>0.9314198835094771</v>
      </c>
      <c r="F76" s="170">
        <f t="shared" si="3"/>
        <v>0.8675429993968079</v>
      </c>
      <c r="H76" s="19"/>
      <c r="O76" s="268">
        <v>419.6112</v>
      </c>
    </row>
    <row r="77" spans="1:15" ht="13.5" thickBot="1">
      <c r="A77" s="182"/>
      <c r="B77" s="180">
        <v>61</v>
      </c>
      <c r="C77" s="169">
        <f t="shared" si="1"/>
        <v>420.3239</v>
      </c>
      <c r="D77" s="170">
        <f t="shared" si="4"/>
        <v>422.15443257197086</v>
      </c>
      <c r="E77" s="179">
        <f t="shared" si="2"/>
        <v>1.8305325719708776</v>
      </c>
      <c r="F77" s="170">
        <f t="shared" si="3"/>
        <v>3.3508494970463163</v>
      </c>
      <c r="H77" s="19"/>
      <c r="O77" s="268">
        <v>420.3239</v>
      </c>
    </row>
    <row r="78" spans="1:15" ht="13.5" thickBot="1">
      <c r="A78" s="182"/>
      <c r="B78" s="180">
        <v>62</v>
      </c>
      <c r="C78" s="169">
        <f t="shared" si="1"/>
        <v>421.39</v>
      </c>
      <c r="D78" s="170">
        <f t="shared" si="4"/>
        <v>423.77802485582447</v>
      </c>
      <c r="E78" s="179">
        <f t="shared" si="2"/>
        <v>2.388024855824483</v>
      </c>
      <c r="F78" s="170">
        <f t="shared" si="3"/>
        <v>5.702662712035543</v>
      </c>
      <c r="H78" s="19"/>
      <c r="O78" s="268">
        <v>421.39</v>
      </c>
    </row>
    <row r="79" spans="1:15" ht="13.5" thickBot="1">
      <c r="A79" s="182"/>
      <c r="B79" s="180">
        <v>63</v>
      </c>
      <c r="C79" s="169">
        <f t="shared" si="1"/>
        <v>423.2946</v>
      </c>
      <c r="D79" s="170">
        <f t="shared" si="4"/>
        <v>425.4146989095889</v>
      </c>
      <c r="E79" s="179">
        <f t="shared" si="2"/>
        <v>2.120098909588876</v>
      </c>
      <c r="F79" s="170">
        <f t="shared" si="3"/>
        <v>4.49481938643994</v>
      </c>
      <c r="H79" s="19"/>
      <c r="O79" s="268">
        <v>423.2946</v>
      </c>
    </row>
    <row r="80" spans="1:15" ht="13.5" thickBot="1">
      <c r="A80" s="182"/>
      <c r="B80" s="180">
        <v>64</v>
      </c>
      <c r="C80" s="169">
        <f t="shared" si="1"/>
        <v>424.8923</v>
      </c>
      <c r="D80" s="170">
        <f t="shared" si="4"/>
        <v>427.065825295923</v>
      </c>
      <c r="E80" s="179">
        <f t="shared" si="2"/>
        <v>2.173525295923014</v>
      </c>
      <c r="F80" s="170">
        <f t="shared" si="3"/>
        <v>4.724212212017225</v>
      </c>
      <c r="H80" s="19"/>
      <c r="O80" s="268">
        <v>424.8923</v>
      </c>
    </row>
    <row r="81" spans="1:15" ht="13.5" thickBot="1">
      <c r="A81" s="170"/>
      <c r="B81" s="180">
        <v>65</v>
      </c>
      <c r="C81" s="169">
        <f t="shared" si="1"/>
        <v>426.3292</v>
      </c>
      <c r="D81" s="170">
        <f t="shared" si="4"/>
        <v>428.73285242979495</v>
      </c>
      <c r="E81" s="179">
        <f t="shared" si="2"/>
        <v>2.4036524297949313</v>
      </c>
      <c r="F81" s="170">
        <f t="shared" si="3"/>
        <v>5.777545003259077</v>
      </c>
      <c r="H81" s="19"/>
      <c r="O81" s="268">
        <v>426.3292</v>
      </c>
    </row>
    <row r="82" spans="1:15" ht="13.5" thickBot="1">
      <c r="A82" s="177"/>
      <c r="B82" s="180">
        <v>66</v>
      </c>
      <c r="C82" s="169">
        <f aca="true" t="shared" si="5" ref="C82:C116">O82</f>
        <v>428.0909</v>
      </c>
      <c r="D82" s="170">
        <f t="shared" si="4"/>
        <v>430.4173172211576</v>
      </c>
      <c r="E82" s="179">
        <f aca="true" t="shared" si="6" ref="E82:E115">D82-C82</f>
        <v>2.3264172211576124</v>
      </c>
      <c r="F82" s="170">
        <f aca="true" t="shared" si="7" ref="F82:F115">E82*E82</f>
        <v>5.412217086898707</v>
      </c>
      <c r="H82" s="19"/>
      <c r="O82" s="268">
        <v>428.0909</v>
      </c>
    </row>
    <row r="83" spans="1:15" ht="13.5" thickBot="1">
      <c r="A83" s="173"/>
      <c r="B83" s="180">
        <v>67</v>
      </c>
      <c r="C83" s="169">
        <f t="shared" si="5"/>
        <v>429.7899</v>
      </c>
      <c r="D83" s="170">
        <f t="shared" si="4"/>
        <v>432.12085711612076</v>
      </c>
      <c r="E83" s="179">
        <f t="shared" si="6"/>
        <v>2.3309571161207714</v>
      </c>
      <c r="F83" s="170">
        <f t="shared" si="7"/>
        <v>5.433361077194063</v>
      </c>
      <c r="H83" s="19"/>
      <c r="O83" s="268">
        <v>429.7899</v>
      </c>
    </row>
    <row r="84" spans="1:15" ht="13.5" thickBot="1">
      <c r="A84" s="185"/>
      <c r="B84" s="180">
        <v>68</v>
      </c>
      <c r="C84" s="169">
        <f t="shared" si="5"/>
        <v>431.1392</v>
      </c>
      <c r="D84" s="170">
        <f t="shared" si="4"/>
        <v>433.8452238016541</v>
      </c>
      <c r="E84" s="179">
        <f t="shared" si="6"/>
        <v>2.706023801654055</v>
      </c>
      <c r="F84" s="170">
        <f t="shared" si="7"/>
        <v>7.322564815118265</v>
      </c>
      <c r="H84" s="19"/>
      <c r="O84" s="268">
        <v>431.1392</v>
      </c>
    </row>
    <row r="85" spans="1:15" ht="13.5" thickBot="1">
      <c r="A85" s="186"/>
      <c r="B85" s="180">
        <v>69</v>
      </c>
      <c r="C85" s="169">
        <f t="shared" si="5"/>
        <v>433.0128</v>
      </c>
      <c r="D85" s="170">
        <f t="shared" si="4"/>
        <v>435.59229889531093</v>
      </c>
      <c r="E85" s="179">
        <f t="shared" si="6"/>
        <v>2.5794988953109055</v>
      </c>
      <c r="F85" s="170">
        <f t="shared" si="7"/>
        <v>6.653814550910182</v>
      </c>
      <c r="H85" s="19"/>
      <c r="O85" s="268">
        <v>433.0128</v>
      </c>
    </row>
    <row r="86" spans="1:15" ht="13.5" thickBot="1">
      <c r="A86" s="177"/>
      <c r="B86" s="180">
        <v>70</v>
      </c>
      <c r="C86" s="169">
        <f t="shared" si="5"/>
        <v>435.2912</v>
      </c>
      <c r="D86" s="170">
        <f t="shared" si="4"/>
        <v>437.3641120126308</v>
      </c>
      <c r="E86" s="179">
        <f t="shared" si="6"/>
        <v>2.072912012630809</v>
      </c>
      <c r="F86" s="170">
        <f t="shared" si="7"/>
        <v>4.296964212109111</v>
      </c>
      <c r="H86" s="19"/>
      <c r="O86" s="268">
        <v>435.2912</v>
      </c>
    </row>
    <row r="87" spans="1:15" ht="13.5" thickBot="1">
      <c r="A87" s="186"/>
      <c r="B87" s="180">
        <v>71</v>
      </c>
      <c r="C87" s="169">
        <f t="shared" si="5"/>
        <v>437.0944</v>
      </c>
      <c r="D87" s="170">
        <f t="shared" si="4"/>
        <v>439.16286169515763</v>
      </c>
      <c r="E87" s="179">
        <f t="shared" si="6"/>
        <v>2.068461695157623</v>
      </c>
      <c r="F87" s="170">
        <f t="shared" si="7"/>
        <v>4.278533784334348</v>
      </c>
      <c r="H87" s="19"/>
      <c r="O87" s="268">
        <v>437.0944</v>
      </c>
    </row>
    <row r="88" spans="1:15" ht="13.5" thickBot="1">
      <c r="A88" s="173"/>
      <c r="B88" s="180">
        <v>72</v>
      </c>
      <c r="C88" s="169">
        <f t="shared" si="5"/>
        <v>438.6541</v>
      </c>
      <c r="D88" s="170">
        <f t="shared" si="4"/>
        <v>440.9909397973341</v>
      </c>
      <c r="E88" s="179">
        <f t="shared" si="6"/>
        <v>2.3368397973340507</v>
      </c>
      <c r="F88" s="170">
        <f t="shared" si="7"/>
        <v>5.4608202384042475</v>
      </c>
      <c r="H88" s="19"/>
      <c r="O88" s="268">
        <v>438.6541</v>
      </c>
    </row>
    <row r="89" spans="1:15" ht="13.5" thickBot="1">
      <c r="A89" s="186"/>
      <c r="B89" s="180">
        <v>73</v>
      </c>
      <c r="C89" s="169">
        <f t="shared" si="5"/>
        <v>440.4411</v>
      </c>
      <c r="D89" s="170">
        <f t="shared" si="4"/>
        <v>442.85096007896817</v>
      </c>
      <c r="E89" s="179">
        <f t="shared" si="6"/>
        <v>2.4098600789681655</v>
      </c>
      <c r="F89" s="170">
        <f t="shared" si="7"/>
        <v>5.807425600204453</v>
      </c>
      <c r="H89" s="19"/>
      <c r="O89" s="268">
        <v>440.4411</v>
      </c>
    </row>
    <row r="90" spans="1:15" ht="13.5" thickBot="1">
      <c r="A90" s="186"/>
      <c r="B90" s="180">
        <v>74</v>
      </c>
      <c r="C90" s="169">
        <f t="shared" si="5"/>
        <v>442.1996</v>
      </c>
      <c r="D90" s="170">
        <f t="shared" si="4"/>
        <v>444.74579194257797</v>
      </c>
      <c r="E90" s="179">
        <f t="shared" si="6"/>
        <v>2.546191942577991</v>
      </c>
      <c r="F90" s="170">
        <f t="shared" si="7"/>
        <v>6.483093408449084</v>
      </c>
      <c r="H90" s="19"/>
      <c r="O90" s="268">
        <v>442.1996</v>
      </c>
    </row>
    <row r="91" spans="1:15" ht="13.5" thickBot="1">
      <c r="A91" s="177"/>
      <c r="B91" s="180">
        <v>75</v>
      </c>
      <c r="C91" s="169">
        <f t="shared" si="5"/>
        <v>443.8375</v>
      </c>
      <c r="D91" s="170">
        <f t="shared" si="4"/>
        <v>446.6786005070671</v>
      </c>
      <c r="E91" s="179">
        <f t="shared" si="6"/>
        <v>2.8411005070670967</v>
      </c>
      <c r="F91" s="170">
        <f t="shared" si="7"/>
        <v>8.071852091256915</v>
      </c>
      <c r="H91" s="19"/>
      <c r="O91" s="268">
        <v>443.8375</v>
      </c>
    </row>
    <row r="92" spans="1:15" ht="13.5" thickBot="1">
      <c r="A92" s="177"/>
      <c r="B92" s="180">
        <v>76</v>
      </c>
      <c r="C92" s="169">
        <f t="shared" si="5"/>
        <v>446.0404</v>
      </c>
      <c r="D92" s="170">
        <f t="shared" si="4"/>
        <v>448.65289454241577</v>
      </c>
      <c r="E92" s="179">
        <f t="shared" si="6"/>
        <v>2.6124945424157886</v>
      </c>
      <c r="F92" s="170">
        <f t="shared" si="7"/>
        <v>6.8251277341522805</v>
      </c>
      <c r="H92" s="19"/>
      <c r="O92" s="268">
        <v>446.0404</v>
      </c>
    </row>
    <row r="93" spans="1:15" ht="13.5" thickBot="1">
      <c r="A93" s="186"/>
      <c r="B93" s="180">
        <v>77</v>
      </c>
      <c r="C93" s="169">
        <f t="shared" si="5"/>
        <v>448.5008</v>
      </c>
      <c r="D93" s="170">
        <f t="shared" si="4"/>
        <v>450.67258423499146</v>
      </c>
      <c r="E93" s="179">
        <f t="shared" si="6"/>
        <v>2.171784234991435</v>
      </c>
      <c r="F93" s="170">
        <f t="shared" si="7"/>
        <v>4.716646763357332</v>
      </c>
      <c r="H93" s="19"/>
      <c r="O93" s="268">
        <v>448.5008</v>
      </c>
    </row>
    <row r="94" spans="1:15" ht="13.5" thickBot="1">
      <c r="A94" s="186"/>
      <c r="B94" s="180">
        <v>78</v>
      </c>
      <c r="C94" s="169">
        <f t="shared" si="5"/>
        <v>451.0778</v>
      </c>
      <c r="D94" s="170">
        <f t="shared" si="4"/>
        <v>452.7420513537344</v>
      </c>
      <c r="E94" s="179">
        <f t="shared" si="6"/>
        <v>1.6642513537343575</v>
      </c>
      <c r="F94" s="170">
        <f t="shared" si="7"/>
        <v>2.7697325684066416</v>
      </c>
      <c r="H94" s="19"/>
      <c r="O94" s="268">
        <v>451.0778</v>
      </c>
    </row>
    <row r="95" spans="1:15" ht="13.5" thickBot="1">
      <c r="A95" s="177"/>
      <c r="B95" s="180">
        <v>79</v>
      </c>
      <c r="C95" s="169">
        <f t="shared" si="5"/>
        <v>452.6092</v>
      </c>
      <c r="D95" s="170">
        <f t="shared" si="4"/>
        <v>454.8662352081302</v>
      </c>
      <c r="E95" s="179">
        <f t="shared" si="6"/>
        <v>2.257035208130219</v>
      </c>
      <c r="F95" s="170">
        <f t="shared" si="7"/>
        <v>5.094207930739421</v>
      </c>
      <c r="H95" s="19"/>
      <c r="O95" s="268">
        <v>452.6092</v>
      </c>
    </row>
    <row r="96" spans="1:15" ht="13.5" thickBot="1">
      <c r="A96" s="173"/>
      <c r="B96" s="180">
        <v>80</v>
      </c>
      <c r="C96" s="169">
        <f t="shared" si="5"/>
        <v>453.6671</v>
      </c>
      <c r="D96" s="170">
        <f t="shared" si="4"/>
        <v>457.05073892478833</v>
      </c>
      <c r="E96" s="179">
        <f t="shared" si="6"/>
        <v>3.383638924788329</v>
      </c>
      <c r="F96" s="170">
        <f t="shared" si="7"/>
        <v>11.449012373342718</v>
      </c>
      <c r="H96" s="19"/>
      <c r="O96" s="268">
        <v>453.6671</v>
      </c>
    </row>
    <row r="97" spans="1:15" ht="13.5" thickBot="1">
      <c r="A97" s="170"/>
      <c r="B97" s="180">
        <v>81</v>
      </c>
      <c r="C97" s="169">
        <f t="shared" si="5"/>
        <v>455.1401</v>
      </c>
      <c r="D97" s="170">
        <f t="shared" si="4"/>
        <v>459.3019621641173</v>
      </c>
      <c r="E97" s="179">
        <f t="shared" si="6"/>
        <v>4.161862164117281</v>
      </c>
      <c r="F97" s="170">
        <f t="shared" si="7"/>
        <v>17.321096673110976</v>
      </c>
      <c r="H97" s="19"/>
      <c r="O97" s="268">
        <v>455.1401</v>
      </c>
    </row>
    <row r="98" spans="1:15" ht="13.5" thickBot="1">
      <c r="A98" s="173"/>
      <c r="B98" s="180">
        <v>82</v>
      </c>
      <c r="C98" s="169">
        <f t="shared" si="5"/>
        <v>457.7271</v>
      </c>
      <c r="D98" s="170">
        <f t="shared" si="4"/>
        <v>461.6272686721743</v>
      </c>
      <c r="E98" s="179">
        <f t="shared" si="6"/>
        <v>3.9001686721742885</v>
      </c>
      <c r="F98" s="170">
        <f t="shared" si="7"/>
        <v>15.211315671409753</v>
      </c>
      <c r="H98" s="19"/>
      <c r="O98" s="268">
        <v>457.7271</v>
      </c>
    </row>
    <row r="99" spans="1:15" ht="13.5" thickBot="1">
      <c r="A99" s="173"/>
      <c r="B99" s="180">
        <v>83</v>
      </c>
      <c r="C99" s="169">
        <f t="shared" si="5"/>
        <v>460.441</v>
      </c>
      <c r="D99" s="170">
        <f t="shared" si="4"/>
        <v>464.03520035977186</v>
      </c>
      <c r="E99" s="179">
        <f t="shared" si="6"/>
        <v>3.5942003597718895</v>
      </c>
      <c r="F99" s="170">
        <f t="shared" si="7"/>
        <v>12.91827622618438</v>
      </c>
      <c r="H99" s="19"/>
      <c r="O99" s="268">
        <v>460.441</v>
      </c>
    </row>
    <row r="100" spans="1:15" ht="13.5" thickBot="1">
      <c r="A100" s="177"/>
      <c r="B100" s="180">
        <v>84</v>
      </c>
      <c r="C100" s="169">
        <f t="shared" si="5"/>
        <v>464.0194</v>
      </c>
      <c r="D100" s="170">
        <f t="shared" si="4"/>
        <v>466.53575447221954</v>
      </c>
      <c r="E100" s="179">
        <f t="shared" si="6"/>
        <v>2.5163544722195184</v>
      </c>
      <c r="F100" s="170">
        <f t="shared" si="7"/>
        <v>6.332039829859171</v>
      </c>
      <c r="H100" s="19"/>
      <c r="O100" s="268">
        <v>464.0194</v>
      </c>
    </row>
    <row r="101" spans="1:15" ht="13.5" thickBot="1">
      <c r="A101" s="173"/>
      <c r="B101" s="180">
        <v>85</v>
      </c>
      <c r="C101" s="169">
        <f t="shared" si="5"/>
        <v>467.7794</v>
      </c>
      <c r="D101" s="170">
        <f t="shared" si="4"/>
        <v>469.140747760956</v>
      </c>
      <c r="E101" s="179">
        <f t="shared" si="6"/>
        <v>1.3613477609559936</v>
      </c>
      <c r="F101" s="170">
        <f t="shared" si="7"/>
        <v>1.853267726259897</v>
      </c>
      <c r="H101" s="19"/>
      <c r="O101" s="268">
        <v>467.7794</v>
      </c>
    </row>
    <row r="102" spans="1:15" ht="13.5" thickBot="1">
      <c r="A102" s="173"/>
      <c r="B102" s="180">
        <v>86</v>
      </c>
      <c r="C102" s="169">
        <f t="shared" si="5"/>
        <v>471.1541</v>
      </c>
      <c r="D102" s="170">
        <f t="shared" si="4"/>
        <v>471.86430291050567</v>
      </c>
      <c r="E102" s="179">
        <f t="shared" si="6"/>
        <v>0.7102029105056431</v>
      </c>
      <c r="F102" s="170">
        <f t="shared" si="7"/>
        <v>0.5043881740906865</v>
      </c>
      <c r="H102" s="19"/>
      <c r="O102" s="268">
        <v>471.1541</v>
      </c>
    </row>
    <row r="103" spans="1:15" ht="13.5" thickBot="1">
      <c r="A103" s="173"/>
      <c r="B103" s="180">
        <v>87</v>
      </c>
      <c r="C103" s="169">
        <f t="shared" si="5"/>
        <v>474.0804</v>
      </c>
      <c r="D103" s="170">
        <f t="shared" si="4"/>
        <v>474.72351044067204</v>
      </c>
      <c r="E103" s="179">
        <f t="shared" si="6"/>
        <v>0.6431104406720465</v>
      </c>
      <c r="F103" s="170">
        <f t="shared" si="7"/>
        <v>0.4135910389013938</v>
      </c>
      <c r="H103" s="19"/>
      <c r="O103" s="268">
        <v>474.0804</v>
      </c>
    </row>
    <row r="104" spans="1:15" ht="13.5" thickBot="1">
      <c r="A104" s="173"/>
      <c r="B104" s="180">
        <v>88</v>
      </c>
      <c r="C104" s="169">
        <f t="shared" si="5"/>
        <v>477.4907</v>
      </c>
      <c r="D104" s="170">
        <f t="shared" si="4"/>
        <v>477.73934860713354</v>
      </c>
      <c r="E104" s="179">
        <f t="shared" si="6"/>
        <v>0.2486486071335321</v>
      </c>
      <c r="F104" s="170">
        <f t="shared" si="7"/>
        <v>0.06182612982944559</v>
      </c>
      <c r="H104" s="19"/>
      <c r="O104" s="268">
        <v>477.4907</v>
      </c>
    </row>
    <row r="105" spans="1:15" ht="13.5" thickBot="1">
      <c r="A105" s="173"/>
      <c r="B105" s="180">
        <v>89</v>
      </c>
      <c r="C105" s="169">
        <f t="shared" si="5"/>
        <v>480.7399</v>
      </c>
      <c r="D105" s="170">
        <f t="shared" si="4"/>
        <v>480.9379932340783</v>
      </c>
      <c r="E105" s="179">
        <f t="shared" si="6"/>
        <v>0.19809323407832835</v>
      </c>
      <c r="F105" s="170">
        <f t="shared" si="7"/>
        <v>0.03924092938761139</v>
      </c>
      <c r="H105" s="19"/>
      <c r="O105" s="268">
        <v>480.7399</v>
      </c>
    </row>
    <row r="106" spans="1:15" ht="13.5" thickBot="1">
      <c r="A106" s="187"/>
      <c r="B106" s="180">
        <v>90</v>
      </c>
      <c r="C106" s="169">
        <f t="shared" si="5"/>
        <v>484.8498</v>
      </c>
      <c r="D106" s="170">
        <f t="shared" si="4"/>
        <v>484.352735977723</v>
      </c>
      <c r="E106" s="179">
        <f t="shared" si="6"/>
        <v>-0.49706402227701574</v>
      </c>
      <c r="F106" s="170">
        <f t="shared" si="7"/>
        <v>0.2470726422422056</v>
      </c>
      <c r="H106" s="19"/>
      <c r="O106" s="268">
        <v>484.8498</v>
      </c>
    </row>
    <row r="107" spans="1:15" ht="13.5" thickBot="1">
      <c r="A107" s="170"/>
      <c r="B107" s="180">
        <v>91</v>
      </c>
      <c r="C107" s="169">
        <f t="shared" si="5"/>
        <v>486.8281</v>
      </c>
      <c r="D107" s="170">
        <f t="shared" si="4"/>
        <v>488.0268880841553</v>
      </c>
      <c r="E107" s="179">
        <f t="shared" si="6"/>
        <v>1.1987880841552965</v>
      </c>
      <c r="F107" s="170">
        <f t="shared" si="7"/>
        <v>1.4370928707127262</v>
      </c>
      <c r="H107" s="19"/>
      <c r="O107" s="268">
        <v>486.8281</v>
      </c>
    </row>
    <row r="108" spans="1:15" ht="13.5" thickBot="1">
      <c r="A108" s="170"/>
      <c r="B108" s="180">
        <v>92</v>
      </c>
      <c r="C108" s="169">
        <f t="shared" si="5"/>
        <v>490.2221</v>
      </c>
      <c r="D108" s="170">
        <f t="shared" si="4"/>
        <v>492.0183528164684</v>
      </c>
      <c r="E108" s="179">
        <f t="shared" si="6"/>
        <v>1.7962528164683818</v>
      </c>
      <c r="F108" s="170">
        <f t="shared" si="7"/>
        <v>3.226524180670594</v>
      </c>
      <c r="H108" s="19"/>
      <c r="O108" s="268">
        <v>490.2221</v>
      </c>
    </row>
    <row r="109" spans="1:15" ht="13.5" thickBot="1">
      <c r="A109" s="170"/>
      <c r="B109" s="180">
        <v>93</v>
      </c>
      <c r="C109" s="169">
        <f t="shared" si="5"/>
        <v>496.2655</v>
      </c>
      <c r="D109" s="170">
        <f t="shared" si="4"/>
        <v>496.4071791048814</v>
      </c>
      <c r="E109" s="179">
        <f t="shared" si="6"/>
        <v>0.14167910488140478</v>
      </c>
      <c r="F109" s="170">
        <f t="shared" si="7"/>
        <v>0.020072968759996097</v>
      </c>
      <c r="H109" s="19"/>
      <c r="O109" s="268">
        <v>496.2655</v>
      </c>
    </row>
    <row r="110" spans="1:15" ht="13.5" thickBot="1">
      <c r="A110" s="170"/>
      <c r="B110" s="180">
        <v>94</v>
      </c>
      <c r="C110" s="169">
        <f t="shared" si="5"/>
        <v>502.366</v>
      </c>
      <c r="D110" s="170">
        <f t="shared" si="4"/>
        <v>501.3088067923562</v>
      </c>
      <c r="E110" s="179">
        <f t="shared" si="6"/>
        <v>-1.0571932076437633</v>
      </c>
      <c r="F110" s="170">
        <f t="shared" si="7"/>
        <v>1.1176574782881092</v>
      </c>
      <c r="H110" s="19"/>
      <c r="O110" s="268">
        <v>502.366</v>
      </c>
    </row>
    <row r="111" spans="1:15" ht="13.5" thickBot="1">
      <c r="A111" s="170"/>
      <c r="B111" s="180">
        <v>95</v>
      </c>
      <c r="C111" s="169">
        <f t="shared" si="5"/>
        <v>507.6434</v>
      </c>
      <c r="D111" s="170">
        <f t="shared" si="4"/>
        <v>506.89913481299584</v>
      </c>
      <c r="E111" s="179">
        <f t="shared" si="6"/>
        <v>-0.7442651870041459</v>
      </c>
      <c r="F111" s="170">
        <f t="shared" si="7"/>
        <v>0.5539306685863162</v>
      </c>
      <c r="H111" s="19"/>
      <c r="O111" s="268">
        <v>507.6434</v>
      </c>
    </row>
    <row r="112" spans="1:15" ht="13.5" thickBot="1">
      <c r="A112" s="170"/>
      <c r="B112" s="180">
        <v>96</v>
      </c>
      <c r="C112" s="169">
        <f t="shared" si="5"/>
        <v>515.7538</v>
      </c>
      <c r="D112" s="170">
        <f t="shared" si="4"/>
        <v>513.4670468698864</v>
      </c>
      <c r="E112" s="179">
        <f t="shared" si="6"/>
        <v>-2.2867531301135386</v>
      </c>
      <c r="F112" s="170">
        <f t="shared" si="7"/>
        <v>5.2292398780840665</v>
      </c>
      <c r="H112" s="19"/>
      <c r="O112" s="268">
        <v>515.7538</v>
      </c>
    </row>
    <row r="113" spans="1:15" ht="13.5" thickBot="1">
      <c r="A113" s="170"/>
      <c r="B113" s="180">
        <v>97</v>
      </c>
      <c r="C113" s="169">
        <f t="shared" si="5"/>
        <v>521.6733</v>
      </c>
      <c r="D113" s="170">
        <f t="shared" si="4"/>
        <v>521.5414586024268</v>
      </c>
      <c r="E113" s="179">
        <f t="shared" si="6"/>
        <v>-0.13184139757322555</v>
      </c>
      <c r="F113" s="170">
        <f t="shared" si="7"/>
        <v>0.017382154114061323</v>
      </c>
      <c r="H113" s="19"/>
      <c r="O113" s="268">
        <v>521.6733</v>
      </c>
    </row>
    <row r="114" spans="1:15" ht="13.5" thickBot="1">
      <c r="A114" s="170"/>
      <c r="B114" s="180">
        <v>98</v>
      </c>
      <c r="C114" s="169">
        <f t="shared" si="5"/>
        <v>533.7936</v>
      </c>
      <c r="D114" s="170">
        <f t="shared" si="4"/>
        <v>532.2749927690198</v>
      </c>
      <c r="E114" s="179">
        <f t="shared" si="6"/>
        <v>-1.5186072309801375</v>
      </c>
      <c r="F114" s="170">
        <f t="shared" si="7"/>
        <v>2.3061679219851605</v>
      </c>
      <c r="H114" s="19"/>
      <c r="O114" s="268">
        <v>533.7936</v>
      </c>
    </row>
    <row r="115" spans="1:15" ht="13.5" thickBot="1">
      <c r="A115" s="170"/>
      <c r="B115" s="180">
        <v>99</v>
      </c>
      <c r="C115" s="169">
        <f t="shared" si="5"/>
        <v>551.4724</v>
      </c>
      <c r="D115" s="170">
        <f t="shared" si="4"/>
        <v>549.1924456444945</v>
      </c>
      <c r="E115" s="179">
        <f t="shared" si="6"/>
        <v>-2.279954355505538</v>
      </c>
      <c r="F115" s="170">
        <f t="shared" si="7"/>
        <v>5.198191863188673</v>
      </c>
      <c r="H115" s="19"/>
      <c r="O115" s="268">
        <v>551.4724</v>
      </c>
    </row>
    <row r="116" spans="1:15" ht="12.75">
      <c r="A116" s="170"/>
      <c r="B116" s="170">
        <v>99.1</v>
      </c>
      <c r="C116" s="169">
        <f t="shared" si="5"/>
        <v>573.7513</v>
      </c>
      <c r="D116" s="170">
        <f t="shared" si="4"/>
        <v>551.629564103498</v>
      </c>
      <c r="E116" s="170"/>
      <c r="F116" s="170"/>
      <c r="H116" s="19"/>
      <c r="O116" s="268">
        <v>573.7513</v>
      </c>
    </row>
    <row r="117" spans="1:15" ht="12.75">
      <c r="A117" s="170"/>
      <c r="B117" s="170">
        <v>99.2</v>
      </c>
      <c r="C117" s="170"/>
      <c r="D117" s="170">
        <f t="shared" si="4"/>
        <v>554.3166137311296</v>
      </c>
      <c r="E117" s="170"/>
      <c r="F117" s="170"/>
      <c r="H117" s="19"/>
      <c r="O117">
        <v>573.7513</v>
      </c>
    </row>
    <row r="118" spans="1:8" ht="12.75">
      <c r="A118" s="170"/>
      <c r="B118" s="170">
        <v>99.3</v>
      </c>
      <c r="C118" s="170"/>
      <c r="D118" s="170">
        <f t="shared" si="4"/>
        <v>557.3171002572265</v>
      </c>
      <c r="E118" s="170"/>
      <c r="F118" s="170"/>
      <c r="H118" s="19"/>
    </row>
    <row r="119" spans="1:8" ht="12.75">
      <c r="A119" s="170"/>
      <c r="B119" s="170">
        <v>99.4</v>
      </c>
      <c r="C119" s="170"/>
      <c r="D119" s="170">
        <f t="shared" si="4"/>
        <v>560.723041637947</v>
      </c>
      <c r="E119" s="170"/>
      <c r="F119" s="170"/>
      <c r="H119" s="19"/>
    </row>
    <row r="120" spans="1:8" ht="12.75">
      <c r="A120" s="180"/>
      <c r="B120" s="170">
        <v>99.5</v>
      </c>
      <c r="C120" s="181"/>
      <c r="D120" s="170">
        <f t="shared" si="4"/>
        <v>564.6753787489458</v>
      </c>
      <c r="E120" s="170"/>
      <c r="F120" s="170"/>
      <c r="H120" s="19"/>
    </row>
    <row r="121" spans="1:8" ht="12.75">
      <c r="A121" s="170"/>
      <c r="B121" s="170">
        <v>99.6</v>
      </c>
      <c r="C121" s="170"/>
      <c r="D121" s="170">
        <f t="shared" si="4"/>
        <v>569.4069402258226</v>
      </c>
      <c r="E121" s="170"/>
      <c r="F121" s="170"/>
      <c r="H121" s="19"/>
    </row>
    <row r="122" spans="1:8" ht="12.75">
      <c r="A122" s="170"/>
      <c r="B122" s="170">
        <v>99.7</v>
      </c>
      <c r="C122" s="170"/>
      <c r="D122" s="170">
        <f t="shared" si="4"/>
        <v>575.3469277774454</v>
      </c>
      <c r="E122" s="170"/>
      <c r="F122" s="170"/>
      <c r="H122" s="19"/>
    </row>
    <row r="123" spans="1:8" ht="12.75">
      <c r="A123" s="170"/>
      <c r="B123" s="170">
        <v>99.8000000000001</v>
      </c>
      <c r="C123" s="170"/>
      <c r="D123" s="170">
        <f t="shared" si="4"/>
        <v>583.4385687827596</v>
      </c>
      <c r="E123" s="170"/>
      <c r="F123" s="170"/>
      <c r="H123" s="19"/>
    </row>
    <row r="124" spans="1:8" ht="12.75">
      <c r="A124" s="170"/>
      <c r="B124" s="170">
        <v>99.9000000000001</v>
      </c>
      <c r="C124" s="170"/>
      <c r="D124" s="170">
        <f t="shared" si="4"/>
        <v>596.600227358952</v>
      </c>
      <c r="E124" s="170"/>
      <c r="F124" s="170"/>
      <c r="H124" s="19"/>
    </row>
    <row r="125" spans="1:8" ht="12.75">
      <c r="A125" s="170"/>
      <c r="B125" s="170">
        <v>99.99</v>
      </c>
      <c r="C125" s="170"/>
      <c r="D125" s="170">
        <f t="shared" si="4"/>
        <v>635.6257307772944</v>
      </c>
      <c r="E125" s="170"/>
      <c r="F125" s="170"/>
      <c r="H125" s="19"/>
    </row>
    <row r="126" spans="1:8" ht="12.75">
      <c r="A126" s="170"/>
      <c r="B126" s="170">
        <v>99.999</v>
      </c>
      <c r="C126" s="170"/>
      <c r="D126" s="170">
        <f t="shared" si="4"/>
        <v>669.5074378794066</v>
      </c>
      <c r="E126" s="170"/>
      <c r="F126" s="170"/>
      <c r="H126" s="19"/>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B2:W29"/>
  <sheetViews>
    <sheetView workbookViewId="0" topLeftCell="K2">
      <selection activeCell="S30" sqref="S30"/>
    </sheetView>
  </sheetViews>
  <sheetFormatPr defaultColWidth="9.140625" defaultRowHeight="12.75"/>
  <cols>
    <col min="3" max="3" width="13.28125" style="0" customWidth="1"/>
    <col min="9" max="9" width="11.8515625" style="0" customWidth="1"/>
    <col min="10" max="10" width="10.421875" style="0" customWidth="1"/>
    <col min="11" max="11" width="10.140625" style="0" customWidth="1"/>
    <col min="18" max="18" width="12.421875" style="0" bestFit="1" customWidth="1"/>
  </cols>
  <sheetData>
    <row r="2" ht="12.75">
      <c r="B2" t="s">
        <v>177</v>
      </c>
    </row>
    <row r="3" spans="12:21" ht="12.75">
      <c r="L3" t="s">
        <v>179</v>
      </c>
      <c r="R3" t="s">
        <v>188</v>
      </c>
      <c r="S3" t="s">
        <v>190</v>
      </c>
      <c r="T3" t="s">
        <v>198</v>
      </c>
      <c r="U3" t="s">
        <v>197</v>
      </c>
    </row>
    <row r="4" spans="6:19" ht="12.75">
      <c r="F4" t="s">
        <v>183</v>
      </c>
      <c r="G4" t="s">
        <v>182</v>
      </c>
      <c r="H4" t="s">
        <v>184</v>
      </c>
      <c r="I4" t="s">
        <v>185</v>
      </c>
      <c r="J4" t="s">
        <v>178</v>
      </c>
      <c r="K4" t="s">
        <v>186</v>
      </c>
      <c r="L4" t="s">
        <v>69</v>
      </c>
      <c r="M4" t="s">
        <v>70</v>
      </c>
      <c r="N4" t="s">
        <v>180</v>
      </c>
      <c r="O4" t="s">
        <v>181</v>
      </c>
      <c r="P4" t="s">
        <v>187</v>
      </c>
      <c r="Q4" t="s">
        <v>120</v>
      </c>
      <c r="R4" t="s">
        <v>189</v>
      </c>
      <c r="S4" t="s">
        <v>191</v>
      </c>
    </row>
    <row r="5" spans="6:21" ht="12.75">
      <c r="F5">
        <v>1</v>
      </c>
      <c r="G5">
        <f>F5*12+F5*2+2</f>
        <v>16</v>
      </c>
      <c r="H5">
        <f>(G5-2)/14</f>
        <v>1</v>
      </c>
      <c r="I5">
        <f>H5*Sheet1!F12+Sheet1!F12</f>
        <v>4</v>
      </c>
      <c r="J5">
        <f>H5+I5/4</f>
        <v>2</v>
      </c>
      <c r="K5">
        <f>J5*3.78</f>
        <v>7.56</v>
      </c>
      <c r="L5">
        <f>12*H5</f>
        <v>12</v>
      </c>
      <c r="M5">
        <f>I5</f>
        <v>4</v>
      </c>
      <c r="N5">
        <f>J5*32</f>
        <v>64</v>
      </c>
      <c r="O5">
        <f>K5*28</f>
        <v>211.67999999999998</v>
      </c>
      <c r="P5">
        <f>SUM(L5:O5)</f>
        <v>291.67999999999995</v>
      </c>
      <c r="Q5">
        <f>(L5+M5)/(N5+O5)</f>
        <v>0.05803830528148579</v>
      </c>
      <c r="R5">
        <f>Sheet1!Q12</f>
        <v>0</v>
      </c>
      <c r="S5">
        <f>R5/Q5</f>
        <v>0</v>
      </c>
      <c r="T5">
        <f>S5*L5/(L5+M5)</f>
        <v>0</v>
      </c>
      <c r="U5">
        <f>S5-T5</f>
        <v>0</v>
      </c>
    </row>
    <row r="6" spans="6:21" ht="12.75">
      <c r="F6">
        <v>2</v>
      </c>
      <c r="G6">
        <f aca="true" t="shared" si="0" ref="G6:G23">F6*12+F6*2+2</f>
        <v>30</v>
      </c>
      <c r="H6">
        <f aca="true" t="shared" si="1" ref="H6:H23">(G6-2)/14</f>
        <v>2</v>
      </c>
      <c r="I6">
        <f>H6*Sheet1!F13+Sheet1!F13</f>
        <v>5.925000000000001</v>
      </c>
      <c r="J6">
        <f aca="true" t="shared" si="2" ref="J6:J23">H6+I6/4</f>
        <v>3.48125</v>
      </c>
      <c r="K6">
        <f aca="true" t="shared" si="3" ref="K6:K23">J6*3.78</f>
        <v>13.159125</v>
      </c>
      <c r="L6">
        <f aca="true" t="shared" si="4" ref="L6:L23">12*H6</f>
        <v>24</v>
      </c>
      <c r="M6">
        <f aca="true" t="shared" si="5" ref="M6:M23">I6</f>
        <v>5.925000000000001</v>
      </c>
      <c r="N6">
        <f aca="true" t="shared" si="6" ref="N6:N23">J6*32</f>
        <v>111.4</v>
      </c>
      <c r="O6">
        <f aca="true" t="shared" si="7" ref="O6:O23">K6*28</f>
        <v>368.4555</v>
      </c>
      <c r="P6">
        <f aca="true" t="shared" si="8" ref="P6:P23">SUM(L6:O6)</f>
        <v>509.78049999999996</v>
      </c>
      <c r="Q6">
        <f aca="true" t="shared" si="9" ref="Q6:Q23">(L6+M6)/(N6+O6)</f>
        <v>0.06236252371807763</v>
      </c>
      <c r="R6">
        <f>Sheet1!Q13</f>
        <v>1.3208801135165053E-10</v>
      </c>
      <c r="S6">
        <f aca="true" t="shared" si="10" ref="S6:S23">R6/Q6</f>
        <v>2.118067125518862E-09</v>
      </c>
      <c r="T6">
        <f aca="true" t="shared" si="11" ref="T6:T23">S6*L6/(L6+M6)</f>
        <v>1.6987004515439494E-09</v>
      </c>
      <c r="U6">
        <f aca="true" t="shared" si="12" ref="U6:U23">S6-T6</f>
        <v>4.1936667397491265E-10</v>
      </c>
    </row>
    <row r="7" spans="6:23" ht="12.75">
      <c r="F7">
        <v>3</v>
      </c>
      <c r="G7">
        <f t="shared" si="0"/>
        <v>44</v>
      </c>
      <c r="H7">
        <f t="shared" si="1"/>
        <v>3</v>
      </c>
      <c r="I7">
        <f>H7*Sheet1!F14+Sheet1!F14</f>
        <v>7.800000000000001</v>
      </c>
      <c r="J7">
        <f t="shared" si="2"/>
        <v>4.95</v>
      </c>
      <c r="K7">
        <f t="shared" si="3"/>
        <v>18.711</v>
      </c>
      <c r="L7">
        <f t="shared" si="4"/>
        <v>36</v>
      </c>
      <c r="M7">
        <f t="shared" si="5"/>
        <v>7.800000000000001</v>
      </c>
      <c r="N7">
        <f t="shared" si="6"/>
        <v>158.4</v>
      </c>
      <c r="O7">
        <f t="shared" si="7"/>
        <v>523.9079999999999</v>
      </c>
      <c r="P7">
        <f t="shared" si="8"/>
        <v>726.108</v>
      </c>
      <c r="Q7">
        <f t="shared" si="9"/>
        <v>0.06419388311437065</v>
      </c>
      <c r="R7">
        <f>Sheet1!Q14</f>
        <v>1.7118585769151896E-06</v>
      </c>
      <c r="S7">
        <f t="shared" si="10"/>
        <v>2.6667004609539933E-05</v>
      </c>
      <c r="T7">
        <f t="shared" si="11"/>
        <v>2.1918085980443782E-05</v>
      </c>
      <c r="U7">
        <f t="shared" si="12"/>
        <v>4.748918629096151E-06</v>
      </c>
      <c r="W7">
        <f>U7/(T7/12)</f>
        <v>2.5999999999999988</v>
      </c>
    </row>
    <row r="8" spans="6:21" ht="12.75">
      <c r="F8">
        <v>4</v>
      </c>
      <c r="G8">
        <f t="shared" si="0"/>
        <v>58</v>
      </c>
      <c r="H8">
        <f t="shared" si="1"/>
        <v>4</v>
      </c>
      <c r="I8">
        <f>H8*Sheet1!F15+Sheet1!F15</f>
        <v>9.625000000000002</v>
      </c>
      <c r="J8">
        <f t="shared" si="2"/>
        <v>6.40625</v>
      </c>
      <c r="K8">
        <f t="shared" si="3"/>
        <v>24.215625</v>
      </c>
      <c r="L8">
        <f t="shared" si="4"/>
        <v>48</v>
      </c>
      <c r="M8">
        <f t="shared" si="5"/>
        <v>9.625000000000002</v>
      </c>
      <c r="N8">
        <f t="shared" si="6"/>
        <v>205</v>
      </c>
      <c r="O8">
        <f t="shared" si="7"/>
        <v>678.0375</v>
      </c>
      <c r="P8">
        <f t="shared" si="8"/>
        <v>940.6625</v>
      </c>
      <c r="Q8">
        <f t="shared" si="9"/>
        <v>0.06525770423113401</v>
      </c>
      <c r="R8">
        <f>Sheet1!Q15</f>
        <v>0.000701266050474427</v>
      </c>
      <c r="S8">
        <f t="shared" si="10"/>
        <v>0.010746103601662678</v>
      </c>
      <c r="T8">
        <f t="shared" si="11"/>
        <v>0.008951201264725529</v>
      </c>
      <c r="U8">
        <f t="shared" si="12"/>
        <v>0.0017949023369371493</v>
      </c>
    </row>
    <row r="9" spans="6:21" ht="12.75">
      <c r="F9">
        <v>5</v>
      </c>
      <c r="G9">
        <f t="shared" si="0"/>
        <v>72</v>
      </c>
      <c r="H9">
        <f t="shared" si="1"/>
        <v>5</v>
      </c>
      <c r="I9">
        <f>H9*Sheet1!F16+Sheet1!F16</f>
        <v>11.400000000000002</v>
      </c>
      <c r="J9">
        <f t="shared" si="2"/>
        <v>7.8500000000000005</v>
      </c>
      <c r="K9">
        <f t="shared" si="3"/>
        <v>29.673000000000002</v>
      </c>
      <c r="L9">
        <f t="shared" si="4"/>
        <v>60</v>
      </c>
      <c r="M9">
        <f t="shared" si="5"/>
        <v>11.400000000000002</v>
      </c>
      <c r="N9">
        <f t="shared" si="6"/>
        <v>251.20000000000002</v>
      </c>
      <c r="O9">
        <f t="shared" si="7"/>
        <v>830.844</v>
      </c>
      <c r="P9">
        <f t="shared" si="8"/>
        <v>1153.444</v>
      </c>
      <c r="Q9">
        <f t="shared" si="9"/>
        <v>0.06598622606844085</v>
      </c>
      <c r="R9">
        <f>Sheet1!Q16</f>
        <v>0.0419832048300519</v>
      </c>
      <c r="S9">
        <f t="shared" si="10"/>
        <v>0.6362419451978806</v>
      </c>
      <c r="T9">
        <f t="shared" si="11"/>
        <v>0.5346570968049416</v>
      </c>
      <c r="U9">
        <f t="shared" si="12"/>
        <v>0.10158484839293902</v>
      </c>
    </row>
    <row r="10" spans="6:21" ht="12.75">
      <c r="F10">
        <v>6</v>
      </c>
      <c r="G10">
        <f t="shared" si="0"/>
        <v>86</v>
      </c>
      <c r="H10">
        <f t="shared" si="1"/>
        <v>6</v>
      </c>
      <c r="I10">
        <f>H10*Sheet1!F17+Sheet1!F17</f>
        <v>13.125000000000004</v>
      </c>
      <c r="J10">
        <f t="shared" si="2"/>
        <v>9.28125</v>
      </c>
      <c r="K10">
        <f t="shared" si="3"/>
        <v>35.083124999999995</v>
      </c>
      <c r="L10">
        <f t="shared" si="4"/>
        <v>72</v>
      </c>
      <c r="M10">
        <f t="shared" si="5"/>
        <v>13.125000000000004</v>
      </c>
      <c r="N10">
        <f t="shared" si="6"/>
        <v>297</v>
      </c>
      <c r="O10">
        <f t="shared" si="7"/>
        <v>982.3274999999999</v>
      </c>
      <c r="P10">
        <f t="shared" si="8"/>
        <v>1364.4524999999999</v>
      </c>
      <c r="Q10">
        <f t="shared" si="9"/>
        <v>0.06653886514594583</v>
      </c>
      <c r="R10">
        <f>Sheet1!Q17</f>
        <v>0.5955404441648912</v>
      </c>
      <c r="S10">
        <f t="shared" si="10"/>
        <v>8.95026452372816</v>
      </c>
      <c r="T10">
        <f t="shared" si="11"/>
        <v>7.570267790994744</v>
      </c>
      <c r="U10">
        <f t="shared" si="12"/>
        <v>1.3799967327334164</v>
      </c>
    </row>
    <row r="11" spans="6:21" ht="12.75">
      <c r="F11">
        <v>7</v>
      </c>
      <c r="G11">
        <f t="shared" si="0"/>
        <v>100</v>
      </c>
      <c r="H11">
        <f t="shared" si="1"/>
        <v>7</v>
      </c>
      <c r="I11">
        <f>H11*Sheet1!F18+Sheet1!F18</f>
        <v>14.800000000000004</v>
      </c>
      <c r="J11">
        <f t="shared" si="2"/>
        <v>10.700000000000001</v>
      </c>
      <c r="K11">
        <f t="shared" si="3"/>
        <v>40.446000000000005</v>
      </c>
      <c r="L11">
        <f t="shared" si="4"/>
        <v>84</v>
      </c>
      <c r="M11">
        <f t="shared" si="5"/>
        <v>14.800000000000004</v>
      </c>
      <c r="N11">
        <f t="shared" si="6"/>
        <v>342.40000000000003</v>
      </c>
      <c r="O11">
        <f t="shared" si="7"/>
        <v>1132.488</v>
      </c>
      <c r="P11">
        <f t="shared" si="8"/>
        <v>1573.688</v>
      </c>
      <c r="Q11">
        <f t="shared" si="9"/>
        <v>0.06698813740433172</v>
      </c>
      <c r="R11">
        <f>Sheet1!Q18</f>
        <v>2.590944536517331</v>
      </c>
      <c r="S11">
        <f t="shared" si="10"/>
        <v>38.67766199974669</v>
      </c>
      <c r="T11">
        <f t="shared" si="11"/>
        <v>32.88384218601945</v>
      </c>
      <c r="U11">
        <f t="shared" si="12"/>
        <v>5.793819813727239</v>
      </c>
    </row>
    <row r="12" spans="6:21" ht="12.75">
      <c r="F12">
        <v>8</v>
      </c>
      <c r="G12">
        <f t="shared" si="0"/>
        <v>114</v>
      </c>
      <c r="H12">
        <f t="shared" si="1"/>
        <v>8</v>
      </c>
      <c r="I12">
        <f>H12*Sheet1!F19+Sheet1!F19</f>
        <v>16.425000000000004</v>
      </c>
      <c r="J12">
        <f t="shared" si="2"/>
        <v>12.106250000000001</v>
      </c>
      <c r="K12">
        <f t="shared" si="3"/>
        <v>45.761625</v>
      </c>
      <c r="L12">
        <f t="shared" si="4"/>
        <v>96</v>
      </c>
      <c r="M12">
        <f t="shared" si="5"/>
        <v>16.425000000000004</v>
      </c>
      <c r="N12">
        <f t="shared" si="6"/>
        <v>387.40000000000003</v>
      </c>
      <c r="O12">
        <f t="shared" si="7"/>
        <v>1281.3255000000001</v>
      </c>
      <c r="P12">
        <f t="shared" si="8"/>
        <v>1781.1505000000002</v>
      </c>
      <c r="Q12">
        <f t="shared" si="9"/>
        <v>0.06737177564554506</v>
      </c>
      <c r="R12">
        <f>Sheet1!Q19</f>
        <v>5.5389872531816104</v>
      </c>
      <c r="S12">
        <f t="shared" si="10"/>
        <v>82.21524815262717</v>
      </c>
      <c r="T12">
        <f t="shared" si="11"/>
        <v>70.20381429977503</v>
      </c>
      <c r="U12">
        <f t="shared" si="12"/>
        <v>12.011433852852136</v>
      </c>
    </row>
    <row r="13" spans="6:21" ht="12.75">
      <c r="F13">
        <v>9</v>
      </c>
      <c r="G13">
        <f t="shared" si="0"/>
        <v>128</v>
      </c>
      <c r="H13">
        <f t="shared" si="1"/>
        <v>9</v>
      </c>
      <c r="I13">
        <f>H13*Sheet1!F20+Sheet1!F20</f>
        <v>18.000000000000007</v>
      </c>
      <c r="J13">
        <f t="shared" si="2"/>
        <v>13.500000000000002</v>
      </c>
      <c r="K13">
        <f t="shared" si="3"/>
        <v>51.03</v>
      </c>
      <c r="L13">
        <f t="shared" si="4"/>
        <v>108</v>
      </c>
      <c r="M13">
        <f t="shared" si="5"/>
        <v>18.000000000000007</v>
      </c>
      <c r="N13">
        <f t="shared" si="6"/>
        <v>432.00000000000006</v>
      </c>
      <c r="O13">
        <f t="shared" si="7"/>
        <v>1428.8400000000001</v>
      </c>
      <c r="P13">
        <f t="shared" si="8"/>
        <v>1986.8400000000001</v>
      </c>
      <c r="Q13">
        <f t="shared" si="9"/>
        <v>0.0677113561617334</v>
      </c>
      <c r="R13">
        <f>Sheet1!Q20</f>
        <v>6.243284219728698</v>
      </c>
      <c r="S13">
        <f t="shared" si="10"/>
        <v>92.20438894793612</v>
      </c>
      <c r="T13">
        <f t="shared" si="11"/>
        <v>79.03233338394524</v>
      </c>
      <c r="U13">
        <f t="shared" si="12"/>
        <v>13.172055563990881</v>
      </c>
    </row>
    <row r="14" spans="6:21" ht="12.75">
      <c r="F14">
        <v>10</v>
      </c>
      <c r="G14">
        <f t="shared" si="0"/>
        <v>142</v>
      </c>
      <c r="H14">
        <f t="shared" si="1"/>
        <v>10</v>
      </c>
      <c r="I14">
        <f>H14*Sheet1!F21+Sheet1!F21</f>
        <v>19.52500000000001</v>
      </c>
      <c r="J14">
        <f t="shared" si="2"/>
        <v>14.881250000000001</v>
      </c>
      <c r="K14">
        <f t="shared" si="3"/>
        <v>56.251125</v>
      </c>
      <c r="L14">
        <f t="shared" si="4"/>
        <v>120</v>
      </c>
      <c r="M14">
        <f t="shared" si="5"/>
        <v>19.52500000000001</v>
      </c>
      <c r="N14">
        <f t="shared" si="6"/>
        <v>476.20000000000005</v>
      </c>
      <c r="O14">
        <f t="shared" si="7"/>
        <v>1575.0315</v>
      </c>
      <c r="P14">
        <f t="shared" si="8"/>
        <v>2190.7565</v>
      </c>
      <c r="Q14">
        <f t="shared" si="9"/>
        <v>0.06802011377067875</v>
      </c>
      <c r="R14">
        <f>Sheet1!Q21</f>
        <v>4.659991748000014</v>
      </c>
      <c r="S14">
        <f t="shared" si="10"/>
        <v>68.50902607588381</v>
      </c>
      <c r="T14">
        <f t="shared" si="11"/>
        <v>58.921936062397826</v>
      </c>
      <c r="U14">
        <f t="shared" si="12"/>
        <v>9.587090013485984</v>
      </c>
    </row>
    <row r="15" spans="6:21" ht="12.75">
      <c r="F15">
        <v>11</v>
      </c>
      <c r="G15">
        <f t="shared" si="0"/>
        <v>156</v>
      </c>
      <c r="H15">
        <f t="shared" si="1"/>
        <v>11</v>
      </c>
      <c r="I15">
        <f>H15*Sheet1!F22+Sheet1!F22</f>
        <v>21.00000000000001</v>
      </c>
      <c r="J15">
        <f t="shared" si="2"/>
        <v>16.250000000000004</v>
      </c>
      <c r="K15">
        <f t="shared" si="3"/>
        <v>61.42500000000001</v>
      </c>
      <c r="L15">
        <f t="shared" si="4"/>
        <v>132</v>
      </c>
      <c r="M15">
        <f t="shared" si="5"/>
        <v>21.00000000000001</v>
      </c>
      <c r="N15">
        <f t="shared" si="6"/>
        <v>520.0000000000001</v>
      </c>
      <c r="O15">
        <f t="shared" si="7"/>
        <v>1719.9000000000003</v>
      </c>
      <c r="P15">
        <f t="shared" si="8"/>
        <v>2392.9000000000005</v>
      </c>
      <c r="Q15">
        <f t="shared" si="9"/>
        <v>0.0683066208312871</v>
      </c>
      <c r="R15">
        <f>Sheet1!Q22</f>
        <v>2.4548299884557463</v>
      </c>
      <c r="S15">
        <f t="shared" si="10"/>
        <v>35.93839013818319</v>
      </c>
      <c r="T15">
        <f t="shared" si="11"/>
        <v>31.005669923138438</v>
      </c>
      <c r="U15">
        <f t="shared" si="12"/>
        <v>4.93272021504475</v>
      </c>
    </row>
    <row r="16" spans="6:21" ht="12.75">
      <c r="F16">
        <v>12</v>
      </c>
      <c r="G16">
        <f t="shared" si="0"/>
        <v>170</v>
      </c>
      <c r="H16">
        <f t="shared" si="1"/>
        <v>12</v>
      </c>
      <c r="I16">
        <f>H16*Sheet1!F23+Sheet1!F23</f>
        <v>22.42500000000001</v>
      </c>
      <c r="J16">
        <f t="shared" si="2"/>
        <v>17.606250000000003</v>
      </c>
      <c r="K16">
        <f t="shared" si="3"/>
        <v>66.551625</v>
      </c>
      <c r="L16">
        <f t="shared" si="4"/>
        <v>144</v>
      </c>
      <c r="M16">
        <f t="shared" si="5"/>
        <v>22.42500000000001</v>
      </c>
      <c r="N16">
        <f t="shared" si="6"/>
        <v>563.4000000000001</v>
      </c>
      <c r="O16">
        <f t="shared" si="7"/>
        <v>1863.4455</v>
      </c>
      <c r="P16">
        <f t="shared" si="8"/>
        <v>2593.2705</v>
      </c>
      <c r="Q16">
        <f t="shared" si="9"/>
        <v>0.06857667700725077</v>
      </c>
      <c r="R16">
        <f>Sheet1!Q23</f>
        <v>0.9018554047143865</v>
      </c>
      <c r="S16">
        <f t="shared" si="10"/>
        <v>13.151051408032373</v>
      </c>
      <c r="T16">
        <f t="shared" si="11"/>
        <v>11.379007978108227</v>
      </c>
      <c r="U16">
        <f t="shared" si="12"/>
        <v>1.772043429924146</v>
      </c>
    </row>
    <row r="17" spans="6:21" ht="12.75">
      <c r="F17">
        <v>13</v>
      </c>
      <c r="G17">
        <f t="shared" si="0"/>
        <v>184</v>
      </c>
      <c r="H17">
        <f t="shared" si="1"/>
        <v>13</v>
      </c>
      <c r="I17">
        <f>H17*Sheet1!F24+Sheet1!F24</f>
        <v>23.80000000000002</v>
      </c>
      <c r="J17">
        <f t="shared" si="2"/>
        <v>18.950000000000003</v>
      </c>
      <c r="K17">
        <f t="shared" si="3"/>
        <v>71.631</v>
      </c>
      <c r="L17">
        <f t="shared" si="4"/>
        <v>156</v>
      </c>
      <c r="M17">
        <f t="shared" si="5"/>
        <v>23.80000000000002</v>
      </c>
      <c r="N17">
        <f t="shared" si="6"/>
        <v>606.4000000000001</v>
      </c>
      <c r="O17">
        <f t="shared" si="7"/>
        <v>2005.6680000000001</v>
      </c>
      <c r="P17">
        <f t="shared" si="8"/>
        <v>2791.8680000000004</v>
      </c>
      <c r="Q17">
        <f t="shared" si="9"/>
        <v>0.06883434887606295</v>
      </c>
      <c r="R17">
        <f>Sheet1!Q24</f>
        <v>0.2813244989695892</v>
      </c>
      <c r="S17">
        <f t="shared" si="10"/>
        <v>4.086978428111774</v>
      </c>
      <c r="T17">
        <f t="shared" si="11"/>
        <v>3.545987957649815</v>
      </c>
      <c r="U17">
        <f t="shared" si="12"/>
        <v>0.540990470461959</v>
      </c>
    </row>
    <row r="18" spans="6:21" ht="12.75">
      <c r="F18">
        <v>14</v>
      </c>
      <c r="G18">
        <f t="shared" si="0"/>
        <v>198</v>
      </c>
      <c r="H18">
        <f t="shared" si="1"/>
        <v>14</v>
      </c>
      <c r="I18">
        <f>H18*Sheet1!F25+Sheet1!F25</f>
        <v>25.125000000000018</v>
      </c>
      <c r="J18">
        <f t="shared" si="2"/>
        <v>20.281250000000004</v>
      </c>
      <c r="K18">
        <f t="shared" si="3"/>
        <v>76.66312500000001</v>
      </c>
      <c r="L18">
        <f t="shared" si="4"/>
        <v>168</v>
      </c>
      <c r="M18">
        <f t="shared" si="5"/>
        <v>25.125000000000018</v>
      </c>
      <c r="N18">
        <f t="shared" si="6"/>
        <v>649.0000000000001</v>
      </c>
      <c r="O18">
        <f t="shared" si="7"/>
        <v>2146.5675</v>
      </c>
      <c r="P18">
        <f t="shared" si="8"/>
        <v>2988.6925</v>
      </c>
      <c r="Q18">
        <f t="shared" si="9"/>
        <v>0.06908257446833246</v>
      </c>
      <c r="R18">
        <f>Sheet1!Q25</f>
        <v>0.07635740798931413</v>
      </c>
      <c r="S18">
        <f t="shared" si="10"/>
        <v>1.1053063464552333</v>
      </c>
      <c r="T18">
        <f t="shared" si="11"/>
        <v>0.9615092101202805</v>
      </c>
      <c r="U18">
        <f t="shared" si="12"/>
        <v>0.14379713633495284</v>
      </c>
    </row>
    <row r="19" spans="6:21" ht="12.75">
      <c r="F19">
        <v>15</v>
      </c>
      <c r="G19">
        <f t="shared" si="0"/>
        <v>212</v>
      </c>
      <c r="H19">
        <f t="shared" si="1"/>
        <v>15</v>
      </c>
      <c r="I19">
        <f>H19*Sheet1!F26+Sheet1!F26</f>
        <v>26.40000000000002</v>
      </c>
      <c r="J19">
        <f t="shared" si="2"/>
        <v>21.600000000000005</v>
      </c>
      <c r="K19">
        <f t="shared" si="3"/>
        <v>81.64800000000001</v>
      </c>
      <c r="L19">
        <f t="shared" si="4"/>
        <v>180</v>
      </c>
      <c r="M19">
        <f t="shared" si="5"/>
        <v>26.40000000000002</v>
      </c>
      <c r="N19">
        <f t="shared" si="6"/>
        <v>691.2000000000002</v>
      </c>
      <c r="O19">
        <f t="shared" si="7"/>
        <v>2286.1440000000002</v>
      </c>
      <c r="P19">
        <f t="shared" si="8"/>
        <v>3183.7440000000006</v>
      </c>
      <c r="Q19">
        <f t="shared" si="9"/>
        <v>0.06932353130844135</v>
      </c>
      <c r="R19">
        <f>Sheet1!Q26</f>
        <v>0.016949553782436257</v>
      </c>
      <c r="S19">
        <f t="shared" si="10"/>
        <v>0.2444992841899898</v>
      </c>
      <c r="T19">
        <f t="shared" si="11"/>
        <v>0.21322611993313062</v>
      </c>
      <c r="U19">
        <f t="shared" si="12"/>
        <v>0.03127316425685919</v>
      </c>
    </row>
    <row r="20" spans="6:21" ht="12.75">
      <c r="F20">
        <v>16</v>
      </c>
      <c r="G20">
        <f t="shared" si="0"/>
        <v>226</v>
      </c>
      <c r="H20">
        <f t="shared" si="1"/>
        <v>16</v>
      </c>
      <c r="I20">
        <f>H20*Sheet1!F27+Sheet1!F27</f>
        <v>27.62500000000002</v>
      </c>
      <c r="J20">
        <f t="shared" si="2"/>
        <v>22.906250000000007</v>
      </c>
      <c r="K20">
        <f t="shared" si="3"/>
        <v>86.58562500000002</v>
      </c>
      <c r="L20">
        <f t="shared" si="4"/>
        <v>192</v>
      </c>
      <c r="M20">
        <f t="shared" si="5"/>
        <v>27.62500000000002</v>
      </c>
      <c r="N20">
        <f t="shared" si="6"/>
        <v>733.0000000000002</v>
      </c>
      <c r="O20">
        <f t="shared" si="7"/>
        <v>2424.3975000000005</v>
      </c>
      <c r="P20">
        <f t="shared" si="8"/>
        <v>3377.022500000001</v>
      </c>
      <c r="Q20">
        <f t="shared" si="9"/>
        <v>0.06955886929029366</v>
      </c>
      <c r="R20">
        <f>Sheet1!Q27</f>
        <v>0.0030639801860404604</v>
      </c>
      <c r="S20">
        <f t="shared" si="10"/>
        <v>0.04404873479546357</v>
      </c>
      <c r="T20">
        <f t="shared" si="11"/>
        <v>0.038508171113165644</v>
      </c>
      <c r="U20">
        <f t="shared" si="12"/>
        <v>0.005540563682297925</v>
      </c>
    </row>
    <row r="21" spans="6:21" ht="12.75">
      <c r="F21">
        <v>17</v>
      </c>
      <c r="G21">
        <f t="shared" si="0"/>
        <v>240</v>
      </c>
      <c r="H21">
        <f t="shared" si="1"/>
        <v>17</v>
      </c>
      <c r="I21">
        <f>H21*Sheet1!F28+Sheet1!F28</f>
        <v>28.800000000000026</v>
      </c>
      <c r="J21">
        <f t="shared" si="2"/>
        <v>24.200000000000006</v>
      </c>
      <c r="K21">
        <f t="shared" si="3"/>
        <v>91.47600000000001</v>
      </c>
      <c r="L21">
        <f t="shared" si="4"/>
        <v>204</v>
      </c>
      <c r="M21">
        <f t="shared" si="5"/>
        <v>28.800000000000026</v>
      </c>
      <c r="N21">
        <f t="shared" si="6"/>
        <v>774.4000000000002</v>
      </c>
      <c r="O21">
        <f t="shared" si="7"/>
        <v>2561.3280000000004</v>
      </c>
      <c r="P21">
        <f t="shared" si="8"/>
        <v>3568.5280000000007</v>
      </c>
      <c r="Q21">
        <f t="shared" si="9"/>
        <v>0.06978986296244777</v>
      </c>
      <c r="R21">
        <f>Sheet1!Q28</f>
        <v>0.00035556415278527944</v>
      </c>
      <c r="S21">
        <f t="shared" si="10"/>
        <v>0.005094782217534943</v>
      </c>
      <c r="T21">
        <f t="shared" si="11"/>
        <v>0.004464499881345054</v>
      </c>
      <c r="U21">
        <f t="shared" si="12"/>
        <v>0.0006302823361898895</v>
      </c>
    </row>
    <row r="22" spans="6:21" ht="12.75">
      <c r="F22">
        <v>18</v>
      </c>
      <c r="G22">
        <f t="shared" si="0"/>
        <v>254</v>
      </c>
      <c r="H22">
        <f t="shared" si="1"/>
        <v>18</v>
      </c>
      <c r="I22">
        <f>H22*Sheet1!F29+Sheet1!F29</f>
        <v>29.92500000000003</v>
      </c>
      <c r="J22">
        <f t="shared" si="2"/>
        <v>25.481250000000006</v>
      </c>
      <c r="K22">
        <f t="shared" si="3"/>
        <v>96.31912500000001</v>
      </c>
      <c r="L22">
        <f t="shared" si="4"/>
        <v>216</v>
      </c>
      <c r="M22">
        <f t="shared" si="5"/>
        <v>29.92500000000003</v>
      </c>
      <c r="N22">
        <f t="shared" si="6"/>
        <v>815.4000000000002</v>
      </c>
      <c r="O22">
        <f t="shared" si="7"/>
        <v>2696.9355000000005</v>
      </c>
      <c r="P22">
        <f t="shared" si="8"/>
        <v>3758.260500000001</v>
      </c>
      <c r="Q22">
        <f t="shared" si="9"/>
        <v>0.07001751398748782</v>
      </c>
      <c r="R22">
        <f>Sheet1!Q29</f>
        <v>8.232157801359051E-05</v>
      </c>
      <c r="S22">
        <f t="shared" si="10"/>
        <v>0.0011757283760217684</v>
      </c>
      <c r="T22">
        <f t="shared" si="11"/>
        <v>0.0010326617026357708</v>
      </c>
      <c r="U22">
        <f t="shared" si="12"/>
        <v>0.00014306667338599764</v>
      </c>
    </row>
    <row r="23" spans="6:21" ht="12.75">
      <c r="F23">
        <v>19</v>
      </c>
      <c r="G23">
        <f t="shared" si="0"/>
        <v>268</v>
      </c>
      <c r="H23">
        <f t="shared" si="1"/>
        <v>19</v>
      </c>
      <c r="I23">
        <f>H23*Sheet1!F30+Sheet1!F30</f>
        <v>31.000000000000032</v>
      </c>
      <c r="J23">
        <f t="shared" si="2"/>
        <v>26.750000000000007</v>
      </c>
      <c r="K23">
        <f t="shared" si="3"/>
        <v>101.11500000000002</v>
      </c>
      <c r="L23">
        <f t="shared" si="4"/>
        <v>228</v>
      </c>
      <c r="M23">
        <f t="shared" si="5"/>
        <v>31.000000000000032</v>
      </c>
      <c r="N23">
        <f t="shared" si="6"/>
        <v>856.0000000000002</v>
      </c>
      <c r="O23">
        <f t="shared" si="7"/>
        <v>2831.2200000000007</v>
      </c>
      <c r="P23">
        <f t="shared" si="8"/>
        <v>3946.220000000001</v>
      </c>
      <c r="Q23">
        <f t="shared" si="9"/>
        <v>0.07024262181263932</v>
      </c>
      <c r="R23">
        <f>Sheet1!Q30</f>
        <v>7.821726649871634E-06</v>
      </c>
      <c r="S23">
        <f t="shared" si="10"/>
        <v>0.0001113529997603849</v>
      </c>
      <c r="T23">
        <f t="shared" si="11"/>
        <v>9.802503453809943E-05</v>
      </c>
      <c r="U23">
        <f t="shared" si="12"/>
        <v>1.332796522228547E-05</v>
      </c>
    </row>
    <row r="25" spans="18:21" ht="12.75">
      <c r="R25">
        <f>SUM(R5:R23)</f>
        <v>23.406260926018696</v>
      </c>
      <c r="S25">
        <f>SUM(S5:S23)</f>
        <v>345.7802606212055</v>
      </c>
      <c r="T25">
        <f>SUM(T5:T23)</f>
        <v>296.30532848766825</v>
      </c>
      <c r="U25">
        <f>SUM(U5:U23)</f>
        <v>49.47493213353729</v>
      </c>
    </row>
    <row r="27" spans="15:21" ht="12.75">
      <c r="O27" t="s">
        <v>194</v>
      </c>
      <c r="Q27" t="s">
        <v>192</v>
      </c>
      <c r="R27">
        <f>R25/S25</f>
        <v>0.06769114258855778</v>
      </c>
      <c r="T27" t="s">
        <v>199</v>
      </c>
      <c r="U27">
        <f>U25/(T25/12)</f>
        <v>2.003673672129579</v>
      </c>
    </row>
    <row r="28" ht="13.5" thickBot="1"/>
    <row r="29" spans="16:18" ht="13.5" thickBot="1">
      <c r="P29" t="s">
        <v>193</v>
      </c>
      <c r="R29" s="85">
        <f>'Input form'!G20/'Equiv ratio'!R27</f>
        <v>0.6500059897191323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C56"/>
  <sheetViews>
    <sheetView workbookViewId="0" topLeftCell="A16">
      <selection activeCell="D44" sqref="D44"/>
    </sheetView>
  </sheetViews>
  <sheetFormatPr defaultColWidth="9.140625" defaultRowHeight="12.75"/>
  <cols>
    <col min="2" max="3" width="12.421875" style="0" bestFit="1" customWidth="1"/>
  </cols>
  <sheetData>
    <row r="1" spans="1:22" ht="12.75">
      <c r="A1">
        <v>1</v>
      </c>
      <c r="B1">
        <f>1+A1</f>
        <v>2</v>
      </c>
      <c r="C1">
        <f aca="true" t="shared" si="0" ref="C1:V1">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row>
    <row r="3" ht="12.75">
      <c r="Z3">
        <v>8.1494</v>
      </c>
    </row>
    <row r="4" spans="8:26" ht="12.75">
      <c r="H4" t="s">
        <v>79</v>
      </c>
      <c r="Z4">
        <v>-0.5538</v>
      </c>
    </row>
    <row r="5" spans="4:24" ht="12.75">
      <c r="D5" t="s">
        <v>291</v>
      </c>
      <c r="E5">
        <v>1.0079</v>
      </c>
      <c r="H5" t="s">
        <v>80</v>
      </c>
      <c r="N5">
        <v>100</v>
      </c>
      <c r="O5" t="s">
        <v>74</v>
      </c>
      <c r="Q5" t="s">
        <v>164</v>
      </c>
      <c r="W5" t="s">
        <v>166</v>
      </c>
      <c r="X5" t="s">
        <v>166</v>
      </c>
    </row>
    <row r="6" spans="4:26" ht="12.75">
      <c r="D6" t="s">
        <v>290</v>
      </c>
      <c r="E6">
        <v>12.001</v>
      </c>
      <c r="N6">
        <f>((N5+40)*5/9-40)+273.15</f>
        <v>310.92777777777775</v>
      </c>
      <c r="O6" t="s">
        <v>75</v>
      </c>
      <c r="Q6" t="s">
        <v>165</v>
      </c>
      <c r="T6" t="s">
        <v>168</v>
      </c>
      <c r="U6" t="s">
        <v>75</v>
      </c>
      <c r="V6" t="s">
        <v>167</v>
      </c>
      <c r="X6" t="s">
        <v>75</v>
      </c>
      <c r="Z6">
        <f>(SUM(Y8:Y26)^0.5)</f>
        <v>0.8933789387241909</v>
      </c>
    </row>
    <row r="7" spans="8:26" ht="12.75">
      <c r="H7" t="s">
        <v>69</v>
      </c>
      <c r="I7" t="s">
        <v>70</v>
      </c>
      <c r="J7" t="s">
        <v>71</v>
      </c>
      <c r="K7" t="s">
        <v>72</v>
      </c>
      <c r="L7" t="s">
        <v>73</v>
      </c>
      <c r="N7" t="s">
        <v>76</v>
      </c>
      <c r="O7" t="s">
        <v>77</v>
      </c>
      <c r="P7" t="s">
        <v>78</v>
      </c>
      <c r="Q7" t="s">
        <v>16</v>
      </c>
      <c r="R7" t="s">
        <v>75</v>
      </c>
      <c r="Z7" t="s">
        <v>221</v>
      </c>
    </row>
    <row r="8" spans="4:26" ht="12.75">
      <c r="D8">
        <v>16</v>
      </c>
      <c r="E8">
        <f>H8*$E$6+I8*$E$5</f>
        <v>16.0326</v>
      </c>
      <c r="H8">
        <v>1</v>
      </c>
      <c r="I8">
        <f>H8*2+2</f>
        <v>4</v>
      </c>
      <c r="J8" s="13">
        <v>4.22061</v>
      </c>
      <c r="K8" s="14">
        <v>516.689</v>
      </c>
      <c r="L8" s="14">
        <v>11.223</v>
      </c>
      <c r="N8">
        <f>J8-(K8/($N$6+L8))</f>
        <v>2.616736796389682</v>
      </c>
      <c r="O8">
        <f>10^N8</f>
        <v>413.74884686571244</v>
      </c>
      <c r="P8">
        <f>O8*14.7</f>
        <v>6082.108048925973</v>
      </c>
      <c r="Q8">
        <v>-259.5144420718185</v>
      </c>
      <c r="R8">
        <f>((Q8+40)*5/9-40)+273.15</f>
        <v>111.19753218232304</v>
      </c>
      <c r="T8">
        <v>1</v>
      </c>
      <c r="U8">
        <f>((Q8+40)*5/9-40)+273.15</f>
        <v>111.19753218232304</v>
      </c>
      <c r="V8">
        <f>1/U8*1000</f>
        <v>8.993005333610892</v>
      </c>
      <c r="W8">
        <f>8.1494*(T8^-0.5538)</f>
        <v>8.1494</v>
      </c>
      <c r="X8">
        <f>1000/W8</f>
        <v>122.70842025179768</v>
      </c>
      <c r="Y8">
        <f>(W8-V8)^2</f>
        <v>0.7116699588967443</v>
      </c>
      <c r="Z8">
        <f>((X8-273.15)+40)*9/5-40</f>
        <v>-238.7948435467641</v>
      </c>
    </row>
    <row r="9" spans="4:29" ht="12.75">
      <c r="D9">
        <v>29.925</v>
      </c>
      <c r="E9">
        <f aca="true" t="shared" si="1" ref="E9:E26">H9*$E$6+I9*$E$5</f>
        <v>30.0494</v>
      </c>
      <c r="H9">
        <f>H8+1</f>
        <v>2</v>
      </c>
      <c r="I9">
        <f aca="true" t="shared" si="2" ref="I9:I26">H9*2+2</f>
        <v>6</v>
      </c>
      <c r="J9" s="13">
        <v>3.93835</v>
      </c>
      <c r="K9" s="14">
        <v>659.739</v>
      </c>
      <c r="L9" s="14">
        <v>-16.719</v>
      </c>
      <c r="N9">
        <f aca="true" t="shared" si="3" ref="N9:N26">J9-(K9/($N$6+L9))</f>
        <v>1.6959322006972366</v>
      </c>
      <c r="O9">
        <f aca="true" t="shared" si="4" ref="O9:O26">10^N9</f>
        <v>49.651480265461984</v>
      </c>
      <c r="P9">
        <f aca="true" t="shared" si="5" ref="P9:P26">O9*14.7</f>
        <v>729.8767599022912</v>
      </c>
      <c r="Q9">
        <v>-128.04519051389772</v>
      </c>
      <c r="R9">
        <f aca="true" t="shared" si="6" ref="R9:R26">((Q9+40)*5/9-40)+273.15</f>
        <v>184.2360052700568</v>
      </c>
      <c r="T9">
        <f>T8+1</f>
        <v>2</v>
      </c>
      <c r="U9">
        <f aca="true" t="shared" si="7" ref="U9:U26">((Q9+40)*5/9-40)+273.15</f>
        <v>184.2360052700568</v>
      </c>
      <c r="V9">
        <f aca="true" t="shared" si="8" ref="V9:V26">1/U9*1000</f>
        <v>5.427820683227364</v>
      </c>
      <c r="W9">
        <f aca="true" t="shared" si="9" ref="W9:W26">8.1494*(T9^-0.5538)</f>
        <v>5.5515623703677095</v>
      </c>
      <c r="X9">
        <f aca="true" t="shared" si="10" ref="X9:X26">1000/W9</f>
        <v>180.1294722612951</v>
      </c>
      <c r="Y9">
        <f aca="true" t="shared" si="11" ref="Y9:Y26">(W9-V9)^2</f>
        <v>0.01531200513633912</v>
      </c>
      <c r="Z9">
        <f aca="true" t="shared" si="12" ref="Z9:Z26">((X9-273.15)+40)*9/5-40</f>
        <v>-135.4369499296688</v>
      </c>
      <c r="AA9" t="s">
        <v>218</v>
      </c>
      <c r="AB9" t="s">
        <v>217</v>
      </c>
      <c r="AC9" t="s">
        <v>219</v>
      </c>
    </row>
    <row r="10" spans="4:29" ht="12.75">
      <c r="D10">
        <v>43.8</v>
      </c>
      <c r="E10">
        <f t="shared" si="1"/>
        <v>44.0662</v>
      </c>
      <c r="H10">
        <f aca="true" t="shared" si="13" ref="H10:H26">H9+1</f>
        <v>3</v>
      </c>
      <c r="I10">
        <f t="shared" si="2"/>
        <v>8</v>
      </c>
      <c r="J10" s="13">
        <v>3.98292</v>
      </c>
      <c r="K10" s="14">
        <v>819.296</v>
      </c>
      <c r="L10" s="14">
        <v>-24.417</v>
      </c>
      <c r="N10">
        <f t="shared" si="3"/>
        <v>1.1233556710257555</v>
      </c>
      <c r="O10">
        <f t="shared" si="4"/>
        <v>13.284819896774094</v>
      </c>
      <c r="P10">
        <f t="shared" si="5"/>
        <v>195.28685248257918</v>
      </c>
      <c r="Q10">
        <v>-45.455212087848054</v>
      </c>
      <c r="R10">
        <f t="shared" si="6"/>
        <v>230.11932661786216</v>
      </c>
      <c r="T10">
        <f aca="true" t="shared" si="14" ref="T10:T26">T9+1</f>
        <v>3</v>
      </c>
      <c r="U10">
        <f t="shared" si="7"/>
        <v>230.11932661786216</v>
      </c>
      <c r="V10">
        <f t="shared" si="8"/>
        <v>4.345571554972466</v>
      </c>
      <c r="W10">
        <f t="shared" si="9"/>
        <v>4.435023078402442</v>
      </c>
      <c r="X10">
        <f t="shared" si="10"/>
        <v>225.477969859903</v>
      </c>
      <c r="Y10">
        <f t="shared" si="11"/>
        <v>0.00800157504394358</v>
      </c>
      <c r="Z10">
        <f t="shared" si="12"/>
        <v>-53.80965425217456</v>
      </c>
      <c r="AA10">
        <v>353.5</v>
      </c>
      <c r="AB10">
        <f>((AA10+40)*5/9-40)+273.15</f>
        <v>451.76111111111106</v>
      </c>
      <c r="AC10">
        <f>1/AB10*1000</f>
        <v>2.213559280347283</v>
      </c>
    </row>
    <row r="11" spans="4:26" ht="12.75">
      <c r="D11">
        <v>57.625</v>
      </c>
      <c r="E11">
        <f t="shared" si="1"/>
        <v>58.083</v>
      </c>
      <c r="H11">
        <f t="shared" si="13"/>
        <v>4</v>
      </c>
      <c r="I11">
        <f t="shared" si="2"/>
        <v>10</v>
      </c>
      <c r="J11" s="13">
        <v>3.85002</v>
      </c>
      <c r="K11" s="14">
        <v>909.65</v>
      </c>
      <c r="L11" s="14">
        <v>-36.146</v>
      </c>
      <c r="N11">
        <f t="shared" si="3"/>
        <v>0.5395748629296135</v>
      </c>
      <c r="O11">
        <f t="shared" si="4"/>
        <v>3.463975908780742</v>
      </c>
      <c r="P11">
        <f t="shared" si="5"/>
        <v>50.9204458590769</v>
      </c>
      <c r="Q11">
        <v>30.681509153752074</v>
      </c>
      <c r="R11">
        <f t="shared" si="6"/>
        <v>272.4175050854178</v>
      </c>
      <c r="T11">
        <f t="shared" si="14"/>
        <v>4</v>
      </c>
      <c r="U11">
        <f t="shared" si="7"/>
        <v>272.4175050854178</v>
      </c>
      <c r="V11">
        <f t="shared" si="8"/>
        <v>3.6708360561721065</v>
      </c>
      <c r="W11">
        <f t="shared" si="9"/>
        <v>3.7818544619337304</v>
      </c>
      <c r="X11">
        <f t="shared" si="10"/>
        <v>264.42054025756505</v>
      </c>
      <c r="Y11">
        <f t="shared" si="11"/>
        <v>0.012325086417852571</v>
      </c>
      <c r="Z11">
        <f t="shared" si="12"/>
        <v>16.286972463617133</v>
      </c>
    </row>
    <row r="12" spans="4:28" ht="12.75">
      <c r="D12">
        <v>71.4</v>
      </c>
      <c r="E12">
        <f t="shared" si="1"/>
        <v>72.09979999999999</v>
      </c>
      <c r="H12">
        <f t="shared" si="13"/>
        <v>5</v>
      </c>
      <c r="I12">
        <f t="shared" si="2"/>
        <v>12</v>
      </c>
      <c r="J12" s="13">
        <v>3.9892</v>
      </c>
      <c r="K12" s="14">
        <v>1070.617</v>
      </c>
      <c r="L12" s="14">
        <v>-40.454</v>
      </c>
      <c r="N12">
        <f t="shared" si="3"/>
        <v>0.03089761373458222</v>
      </c>
      <c r="O12">
        <f t="shared" si="4"/>
        <v>1.0737362458638544</v>
      </c>
      <c r="P12">
        <f t="shared" si="5"/>
        <v>15.78392281419866</v>
      </c>
      <c r="Q12">
        <v>96.22984088469585</v>
      </c>
      <c r="R12">
        <f t="shared" si="6"/>
        <v>308.8332449359421</v>
      </c>
      <c r="T12">
        <f t="shared" si="14"/>
        <v>5</v>
      </c>
      <c r="U12">
        <f t="shared" si="7"/>
        <v>308.8332449359421</v>
      </c>
      <c r="V12">
        <f t="shared" si="8"/>
        <v>3.2379933714954134</v>
      </c>
      <c r="W12">
        <f t="shared" si="9"/>
        <v>3.3422277945782413</v>
      </c>
      <c r="X12">
        <f t="shared" si="10"/>
        <v>299.20162881243436</v>
      </c>
      <c r="Y12">
        <f t="shared" si="11"/>
        <v>0.01086481495540995</v>
      </c>
      <c r="Z12">
        <f t="shared" si="12"/>
        <v>78.8929318623819</v>
      </c>
      <c r="AA12" t="s">
        <v>220</v>
      </c>
      <c r="AB12">
        <f>(AC10/$Z$3)^(1/Z4)</f>
        <v>10.521844288363257</v>
      </c>
    </row>
    <row r="13" spans="4:26" ht="12.75">
      <c r="D13">
        <v>85.125</v>
      </c>
      <c r="E13">
        <f t="shared" si="1"/>
        <v>86.1166</v>
      </c>
      <c r="H13">
        <f t="shared" si="13"/>
        <v>6</v>
      </c>
      <c r="I13">
        <f t="shared" si="2"/>
        <v>14</v>
      </c>
      <c r="J13" s="13">
        <v>4.00266</v>
      </c>
      <c r="K13" s="14">
        <v>1171.53</v>
      </c>
      <c r="L13" s="14">
        <v>-48.784</v>
      </c>
      <c r="N13">
        <f t="shared" si="3"/>
        <v>-0.4663760760464788</v>
      </c>
      <c r="O13">
        <f t="shared" si="4"/>
        <v>0.3416834345898317</v>
      </c>
      <c r="P13">
        <f t="shared" si="5"/>
        <v>5.022746488470526</v>
      </c>
      <c r="Q13">
        <v>154.98115930724026</v>
      </c>
      <c r="R13">
        <f t="shared" si="6"/>
        <v>341.4728662818001</v>
      </c>
      <c r="T13">
        <f t="shared" si="14"/>
        <v>6</v>
      </c>
      <c r="U13">
        <f t="shared" si="7"/>
        <v>341.4728662818001</v>
      </c>
      <c r="V13">
        <f t="shared" si="8"/>
        <v>2.928490368469719</v>
      </c>
      <c r="W13">
        <f t="shared" si="9"/>
        <v>3.021241715190242</v>
      </c>
      <c r="X13">
        <f t="shared" si="10"/>
        <v>330.98973676028163</v>
      </c>
      <c r="Y13">
        <f t="shared" si="11"/>
        <v>0.00860281231847063</v>
      </c>
      <c r="Z13">
        <f t="shared" si="12"/>
        <v>136.11152616850697</v>
      </c>
    </row>
    <row r="14" spans="4:26" ht="12.75">
      <c r="D14">
        <v>98.8</v>
      </c>
      <c r="E14">
        <f t="shared" si="1"/>
        <v>100.1334</v>
      </c>
      <c r="H14">
        <f t="shared" si="13"/>
        <v>7</v>
      </c>
      <c r="I14">
        <f t="shared" si="2"/>
        <v>16</v>
      </c>
      <c r="J14" s="13">
        <v>4.02832</v>
      </c>
      <c r="K14" s="14">
        <v>1268.636</v>
      </c>
      <c r="L14" s="14">
        <v>-56.199</v>
      </c>
      <c r="N14">
        <f t="shared" si="3"/>
        <v>-0.9520203096714202</v>
      </c>
      <c r="O14">
        <f t="shared" si="4"/>
        <v>0.11168110191749676</v>
      </c>
      <c r="P14">
        <f t="shared" si="5"/>
        <v>1.6417121981872023</v>
      </c>
      <c r="Q14">
        <v>208.36048006066858</v>
      </c>
      <c r="R14">
        <f t="shared" si="6"/>
        <v>371.12804447814915</v>
      </c>
      <c r="T14">
        <f t="shared" si="14"/>
        <v>7</v>
      </c>
      <c r="U14">
        <f t="shared" si="7"/>
        <v>371.12804447814915</v>
      </c>
      <c r="V14">
        <f t="shared" si="8"/>
        <v>2.694487832106897</v>
      </c>
      <c r="W14">
        <f t="shared" si="9"/>
        <v>2.774024806526411</v>
      </c>
      <c r="X14">
        <f t="shared" si="10"/>
        <v>360.48704310333255</v>
      </c>
      <c r="Y14">
        <f t="shared" si="11"/>
        <v>0.0063261302998104275</v>
      </c>
      <c r="Z14">
        <f t="shared" si="12"/>
        <v>189.20667758599865</v>
      </c>
    </row>
    <row r="15" spans="4:26" ht="12.75">
      <c r="D15">
        <v>112.425</v>
      </c>
      <c r="E15">
        <f t="shared" si="1"/>
        <v>114.1502</v>
      </c>
      <c r="H15">
        <f t="shared" si="13"/>
        <v>8</v>
      </c>
      <c r="I15">
        <f t="shared" si="2"/>
        <v>18</v>
      </c>
      <c r="J15" s="13">
        <v>4.04867</v>
      </c>
      <c r="K15" s="14">
        <v>1355.126</v>
      </c>
      <c r="L15" s="14">
        <v>-63.633</v>
      </c>
      <c r="N15">
        <f t="shared" si="3"/>
        <v>-1.4311303102909578</v>
      </c>
      <c r="O15">
        <f t="shared" si="4"/>
        <v>0.03705695155188591</v>
      </c>
      <c r="P15">
        <f t="shared" si="5"/>
        <v>0.5447371878127228</v>
      </c>
      <c r="Q15">
        <v>257.3463667474219</v>
      </c>
      <c r="R15">
        <f t="shared" si="6"/>
        <v>398.3424259707899</v>
      </c>
      <c r="T15">
        <f t="shared" si="14"/>
        <v>8</v>
      </c>
      <c r="U15">
        <f t="shared" si="7"/>
        <v>398.3424259707899</v>
      </c>
      <c r="V15">
        <f t="shared" si="8"/>
        <v>2.510402946818748</v>
      </c>
      <c r="W15">
        <f t="shared" si="9"/>
        <v>2.5762879378946324</v>
      </c>
      <c r="X15">
        <f t="shared" si="10"/>
        <v>388.15537086945716</v>
      </c>
      <c r="Y15">
        <f t="shared" si="11"/>
        <v>0.004340832049069383</v>
      </c>
      <c r="Z15">
        <f t="shared" si="12"/>
        <v>239.00966756502294</v>
      </c>
    </row>
    <row r="16" spans="4:26" ht="12.75">
      <c r="D16">
        <v>126</v>
      </c>
      <c r="E16">
        <f t="shared" si="1"/>
        <v>128.167</v>
      </c>
      <c r="H16">
        <f t="shared" si="13"/>
        <v>9</v>
      </c>
      <c r="I16">
        <f t="shared" si="2"/>
        <v>20</v>
      </c>
      <c r="J16" s="13">
        <v>4.06245</v>
      </c>
      <c r="K16" s="14">
        <v>1430.377</v>
      </c>
      <c r="L16" s="14">
        <v>-71.355</v>
      </c>
      <c r="N16">
        <f t="shared" si="3"/>
        <v>-1.9080822669288624</v>
      </c>
      <c r="O16">
        <f t="shared" si="4"/>
        <v>0.012357133342924185</v>
      </c>
      <c r="P16">
        <f t="shared" si="5"/>
        <v>0.1816498601409855</v>
      </c>
      <c r="Q16">
        <v>302.5438853015259</v>
      </c>
      <c r="R16">
        <f t="shared" si="6"/>
        <v>423.4521585008477</v>
      </c>
      <c r="T16">
        <f t="shared" si="14"/>
        <v>9</v>
      </c>
      <c r="U16">
        <f t="shared" si="7"/>
        <v>423.4521585008477</v>
      </c>
      <c r="V16">
        <f t="shared" si="8"/>
        <v>2.361541864706301</v>
      </c>
      <c r="W16">
        <f t="shared" si="9"/>
        <v>2.413604646472412</v>
      </c>
      <c r="X16">
        <f t="shared" si="10"/>
        <v>414.3180621820328</v>
      </c>
      <c r="Y16">
        <f t="shared" si="11"/>
        <v>0.002710533245225678</v>
      </c>
      <c r="Z16">
        <f t="shared" si="12"/>
        <v>286.10251192765907</v>
      </c>
    </row>
    <row r="17" spans="4:26" ht="12.75">
      <c r="D17">
        <v>139.525</v>
      </c>
      <c r="E17">
        <f t="shared" si="1"/>
        <v>142.1838</v>
      </c>
      <c r="H17">
        <f t="shared" si="13"/>
        <v>10</v>
      </c>
      <c r="I17">
        <f t="shared" si="2"/>
        <v>22</v>
      </c>
      <c r="J17" s="13">
        <v>4.07857</v>
      </c>
      <c r="K17" s="14">
        <v>1501.268</v>
      </c>
      <c r="L17" s="14">
        <v>-78.67</v>
      </c>
      <c r="N17">
        <f t="shared" si="3"/>
        <v>-2.3852307577787144</v>
      </c>
      <c r="O17">
        <f t="shared" si="4"/>
        <v>0.004118786136016985</v>
      </c>
      <c r="P17">
        <f t="shared" si="5"/>
        <v>0.060546156199449676</v>
      </c>
      <c r="Q17">
        <v>344.49103888765904</v>
      </c>
      <c r="R17">
        <f t="shared" si="6"/>
        <v>446.7561327153661</v>
      </c>
      <c r="T17">
        <f t="shared" si="14"/>
        <v>10</v>
      </c>
      <c r="U17">
        <f t="shared" si="7"/>
        <v>446.7561327153661</v>
      </c>
      <c r="V17">
        <f t="shared" si="8"/>
        <v>2.238357633552873</v>
      </c>
      <c r="W17">
        <f t="shared" si="9"/>
        <v>2.27680394355138</v>
      </c>
      <c r="X17">
        <f t="shared" si="10"/>
        <v>439.2121696873868</v>
      </c>
      <c r="Y17">
        <f t="shared" si="11"/>
        <v>0.0014781187525012875</v>
      </c>
      <c r="Z17">
        <f t="shared" si="12"/>
        <v>330.91190543729624</v>
      </c>
    </row>
    <row r="18" spans="4:26" ht="12.75">
      <c r="D18">
        <v>153</v>
      </c>
      <c r="E18">
        <f t="shared" si="1"/>
        <v>156.2006</v>
      </c>
      <c r="H18">
        <f t="shared" si="13"/>
        <v>11</v>
      </c>
      <c r="I18">
        <f t="shared" si="2"/>
        <v>24</v>
      </c>
      <c r="J18" s="13">
        <v>4.10164</v>
      </c>
      <c r="K18" s="14">
        <v>1572.477</v>
      </c>
      <c r="L18" s="14">
        <v>-85.128</v>
      </c>
      <c r="N18">
        <f t="shared" si="3"/>
        <v>-2.862392540136346</v>
      </c>
      <c r="O18">
        <f t="shared" si="4"/>
        <v>0.0013728005985618858</v>
      </c>
      <c r="P18">
        <f t="shared" si="5"/>
        <v>0.02018016879885972</v>
      </c>
      <c r="Q18">
        <v>383.6382976561022</v>
      </c>
      <c r="R18">
        <f t="shared" si="6"/>
        <v>468.5046098089457</v>
      </c>
      <c r="T18">
        <f t="shared" si="14"/>
        <v>11</v>
      </c>
      <c r="U18">
        <f t="shared" si="7"/>
        <v>468.5046098089457</v>
      </c>
      <c r="V18">
        <f t="shared" si="8"/>
        <v>2.1344507163073505</v>
      </c>
      <c r="W18">
        <f t="shared" si="9"/>
        <v>2.1597444463789452</v>
      </c>
      <c r="X18">
        <f t="shared" si="10"/>
        <v>463.0177434541446</v>
      </c>
      <c r="Y18">
        <f t="shared" si="11"/>
        <v>0.0006397727809346963</v>
      </c>
      <c r="Z18">
        <f t="shared" si="12"/>
        <v>373.7619382174603</v>
      </c>
    </row>
    <row r="19" spans="4:26" ht="12.75">
      <c r="D19">
        <v>166.425</v>
      </c>
      <c r="E19">
        <f t="shared" si="1"/>
        <v>170.2174</v>
      </c>
      <c r="H19">
        <f t="shared" si="13"/>
        <v>12</v>
      </c>
      <c r="I19">
        <f t="shared" si="2"/>
        <v>26</v>
      </c>
      <c r="J19" s="13">
        <v>4.10549</v>
      </c>
      <c r="K19" s="14">
        <v>1625.928</v>
      </c>
      <c r="L19" s="14">
        <v>-92.839</v>
      </c>
      <c r="N19">
        <f t="shared" si="3"/>
        <v>-3.3498592232266287</v>
      </c>
      <c r="O19">
        <f t="shared" si="4"/>
        <v>0.0004468284083304635</v>
      </c>
      <c r="P19">
        <f t="shared" si="5"/>
        <v>0.006568377602457813</v>
      </c>
      <c r="Q19">
        <v>420.30785829919273</v>
      </c>
      <c r="R19">
        <f t="shared" si="6"/>
        <v>488.87658794399596</v>
      </c>
      <c r="T19">
        <f t="shared" si="14"/>
        <v>12</v>
      </c>
      <c r="U19">
        <f t="shared" si="7"/>
        <v>488.87658794399596</v>
      </c>
      <c r="V19">
        <f t="shared" si="8"/>
        <v>2.0455060124796907</v>
      </c>
      <c r="W19">
        <f t="shared" si="9"/>
        <v>2.0581406996632072</v>
      </c>
      <c r="X19">
        <f t="shared" si="10"/>
        <v>485.8754312392925</v>
      </c>
      <c r="Y19">
        <f t="shared" si="11"/>
        <v>0.00015963532022531785</v>
      </c>
      <c r="Z19">
        <f t="shared" si="12"/>
        <v>414.9057762307265</v>
      </c>
    </row>
    <row r="20" spans="4:26" ht="12.75">
      <c r="D20">
        <v>179.8</v>
      </c>
      <c r="E20">
        <f t="shared" si="1"/>
        <v>184.23420000000002</v>
      </c>
      <c r="H20">
        <f t="shared" si="13"/>
        <v>13</v>
      </c>
      <c r="I20">
        <f t="shared" si="2"/>
        <v>28</v>
      </c>
      <c r="J20" s="13">
        <v>4.12829</v>
      </c>
      <c r="K20" s="14">
        <v>1689.093</v>
      </c>
      <c r="L20" s="14">
        <v>-98.866</v>
      </c>
      <c r="N20">
        <f t="shared" si="3"/>
        <v>-3.836808744810214</v>
      </c>
      <c r="O20">
        <f t="shared" si="4"/>
        <v>0.00014561001787687078</v>
      </c>
      <c r="P20">
        <f t="shared" si="5"/>
        <v>0.0021404672627900003</v>
      </c>
      <c r="Q20">
        <v>454.7603536809029</v>
      </c>
      <c r="R20">
        <f t="shared" si="6"/>
        <v>508.0168631560571</v>
      </c>
      <c r="T20">
        <f t="shared" si="14"/>
        <v>13</v>
      </c>
      <c r="U20">
        <f t="shared" si="7"/>
        <v>508.0168631560571</v>
      </c>
      <c r="V20">
        <f t="shared" si="8"/>
        <v>1.968438594316526</v>
      </c>
      <c r="W20">
        <f t="shared" si="9"/>
        <v>1.9689006686050088</v>
      </c>
      <c r="X20">
        <f t="shared" si="10"/>
        <v>507.89763848702063</v>
      </c>
      <c r="Y20">
        <f t="shared" si="11"/>
        <v>2.135126480769628E-07</v>
      </c>
      <c r="Z20">
        <f t="shared" si="12"/>
        <v>454.54574927663714</v>
      </c>
    </row>
    <row r="21" spans="4:26" ht="12.75">
      <c r="D21">
        <v>193.125</v>
      </c>
      <c r="E21">
        <f t="shared" si="1"/>
        <v>198.25099999999998</v>
      </c>
      <c r="H21">
        <f t="shared" si="13"/>
        <v>14</v>
      </c>
      <c r="I21">
        <f t="shared" si="2"/>
        <v>30</v>
      </c>
      <c r="J21" s="13">
        <v>4.13735</v>
      </c>
      <c r="K21" s="14">
        <v>1739.623</v>
      </c>
      <c r="L21" s="14">
        <v>-105.616</v>
      </c>
      <c r="N21">
        <f t="shared" si="3"/>
        <v>-4.335729425004574</v>
      </c>
      <c r="O21">
        <f t="shared" si="4"/>
        <v>4.6160507508598384E-05</v>
      </c>
      <c r="P21">
        <f t="shared" si="5"/>
        <v>0.0006785594603763962</v>
      </c>
      <c r="Q21">
        <v>487.2811602918871</v>
      </c>
      <c r="R21">
        <f t="shared" si="6"/>
        <v>526.0839779399373</v>
      </c>
      <c r="T21">
        <f t="shared" si="14"/>
        <v>14</v>
      </c>
      <c r="U21">
        <f t="shared" si="7"/>
        <v>526.0839779399373</v>
      </c>
      <c r="V21">
        <f t="shared" si="8"/>
        <v>1.900837208378487</v>
      </c>
      <c r="W21">
        <f t="shared" si="9"/>
        <v>1.8897307446411495</v>
      </c>
      <c r="X21">
        <f t="shared" si="10"/>
        <v>529.1759171700913</v>
      </c>
      <c r="Y21">
        <f t="shared" si="11"/>
        <v>0.00012335353674879242</v>
      </c>
      <c r="Z21">
        <f t="shared" si="12"/>
        <v>492.8466509061644</v>
      </c>
    </row>
    <row r="22" spans="4:26" ht="12.75">
      <c r="D22">
        <v>206.4</v>
      </c>
      <c r="E22">
        <f t="shared" si="1"/>
        <v>212.2678</v>
      </c>
      <c r="H22">
        <f t="shared" si="13"/>
        <v>15</v>
      </c>
      <c r="I22">
        <f t="shared" si="2"/>
        <v>32</v>
      </c>
      <c r="J22" s="13">
        <v>4.14935</v>
      </c>
      <c r="K22" s="14">
        <v>1789.658</v>
      </c>
      <c r="L22" s="14">
        <v>-111.859</v>
      </c>
      <c r="N22">
        <f t="shared" si="3"/>
        <v>-4.8407991332699645</v>
      </c>
      <c r="O22">
        <f t="shared" si="4"/>
        <v>1.442782502516008E-05</v>
      </c>
      <c r="P22">
        <f t="shared" si="5"/>
        <v>0.00021208902786985315</v>
      </c>
      <c r="Q22">
        <v>518.0350414787989</v>
      </c>
      <c r="R22">
        <f t="shared" si="6"/>
        <v>543.1694674882216</v>
      </c>
      <c r="T22">
        <f t="shared" si="14"/>
        <v>15</v>
      </c>
      <c r="U22">
        <f t="shared" si="7"/>
        <v>543.1694674882216</v>
      </c>
      <c r="V22">
        <f t="shared" si="8"/>
        <v>1.8410460452136599</v>
      </c>
      <c r="W22">
        <f t="shared" si="9"/>
        <v>1.8188894154456274</v>
      </c>
      <c r="X22">
        <f t="shared" si="10"/>
        <v>549.7860350982362</v>
      </c>
      <c r="Y22">
        <f t="shared" si="11"/>
        <v>0.0004909162426776619</v>
      </c>
      <c r="Z22">
        <f t="shared" si="12"/>
        <v>529.9448631768253</v>
      </c>
    </row>
    <row r="23" spans="4:26" ht="12.75">
      <c r="D23">
        <v>219.625</v>
      </c>
      <c r="E23">
        <f t="shared" si="1"/>
        <v>226.28459999999998</v>
      </c>
      <c r="H23">
        <f t="shared" si="13"/>
        <v>16</v>
      </c>
      <c r="I23">
        <f t="shared" si="2"/>
        <v>34</v>
      </c>
      <c r="J23" s="13">
        <v>4.17312</v>
      </c>
      <c r="K23" s="14">
        <v>1845.672</v>
      </c>
      <c r="L23" s="14">
        <v>-117.054</v>
      </c>
      <c r="N23">
        <f t="shared" si="3"/>
        <v>-5.346847172226606</v>
      </c>
      <c r="O23">
        <f t="shared" si="4"/>
        <v>4.499381598052531E-06</v>
      </c>
      <c r="P23">
        <f t="shared" si="5"/>
        <v>6.61409094913722E-05</v>
      </c>
      <c r="Q23">
        <v>547.1245268307453</v>
      </c>
      <c r="R23">
        <f t="shared" si="6"/>
        <v>559.3302926837473</v>
      </c>
      <c r="T23">
        <f t="shared" si="14"/>
        <v>16</v>
      </c>
      <c r="U23">
        <f t="shared" si="7"/>
        <v>559.3302926837473</v>
      </c>
      <c r="V23">
        <f t="shared" si="8"/>
        <v>1.7878523889737064</v>
      </c>
      <c r="W23">
        <f t="shared" si="9"/>
        <v>1.7550277531165561</v>
      </c>
      <c r="X23">
        <f t="shared" si="10"/>
        <v>569.7915592640701</v>
      </c>
      <c r="Y23">
        <f t="shared" si="11"/>
        <v>0.0010774567191545127</v>
      </c>
      <c r="Z23">
        <f t="shared" si="12"/>
        <v>565.9548066753262</v>
      </c>
    </row>
    <row r="24" spans="4:26" ht="12.75">
      <c r="D24">
        <v>232.8</v>
      </c>
      <c r="E24">
        <f t="shared" si="1"/>
        <v>240.3014</v>
      </c>
      <c r="H24">
        <f t="shared" si="13"/>
        <v>17</v>
      </c>
      <c r="I24">
        <f t="shared" si="2"/>
        <v>36</v>
      </c>
      <c r="J24" s="13">
        <v>3.9273</v>
      </c>
      <c r="K24" s="14">
        <v>1718.004</v>
      </c>
      <c r="L24" s="14">
        <v>-138.126</v>
      </c>
      <c r="N24">
        <f t="shared" si="3"/>
        <v>-6.014750493307683</v>
      </c>
      <c r="O24">
        <f t="shared" si="4"/>
        <v>9.666060447163496E-07</v>
      </c>
      <c r="P24">
        <f t="shared" si="5"/>
        <v>1.4209108857330338E-05</v>
      </c>
      <c r="Q24">
        <v>576.3698430629701</v>
      </c>
      <c r="R24">
        <f t="shared" si="6"/>
        <v>575.5776905905389</v>
      </c>
      <c r="T24">
        <f t="shared" si="14"/>
        <v>17</v>
      </c>
      <c r="U24">
        <f t="shared" si="7"/>
        <v>575.5776905905389</v>
      </c>
      <c r="V24">
        <f t="shared" si="8"/>
        <v>1.7373849201382472</v>
      </c>
      <c r="W24">
        <f t="shared" si="9"/>
        <v>1.6970827625365963</v>
      </c>
      <c r="X24">
        <f t="shared" si="10"/>
        <v>589.2464540181409</v>
      </c>
      <c r="Y24">
        <f t="shared" si="11"/>
        <v>0.0016242639073483075</v>
      </c>
      <c r="Z24">
        <f t="shared" si="12"/>
        <v>600.9736172326536</v>
      </c>
    </row>
    <row r="25" spans="4:26" ht="12.75">
      <c r="D25">
        <v>245.925</v>
      </c>
      <c r="E25">
        <f t="shared" si="1"/>
        <v>254.3182</v>
      </c>
      <c r="H25">
        <f t="shared" si="13"/>
        <v>18</v>
      </c>
      <c r="I25">
        <f t="shared" si="2"/>
        <v>38</v>
      </c>
      <c r="J25" s="13">
        <v>4.33209</v>
      </c>
      <c r="K25" s="14">
        <v>2068.963</v>
      </c>
      <c r="L25" s="14">
        <v>-111.927</v>
      </c>
      <c r="N25">
        <f t="shared" si="3"/>
        <v>-6.064668359961746</v>
      </c>
      <c r="O25">
        <f t="shared" si="4"/>
        <v>8.616514834336517E-07</v>
      </c>
      <c r="P25">
        <f t="shared" si="5"/>
        <v>1.2666276806474679E-05</v>
      </c>
      <c r="Q25">
        <v>601.4579348998712</v>
      </c>
      <c r="R25">
        <f t="shared" si="6"/>
        <v>589.5155193888173</v>
      </c>
      <c r="T25">
        <f t="shared" si="14"/>
        <v>18</v>
      </c>
      <c r="U25">
        <f t="shared" si="7"/>
        <v>589.5155193888173</v>
      </c>
      <c r="V25">
        <f t="shared" si="8"/>
        <v>1.6963081837722511</v>
      </c>
      <c r="W25">
        <f t="shared" si="9"/>
        <v>1.6442040803373137</v>
      </c>
      <c r="X25">
        <f t="shared" si="10"/>
        <v>608.1970066604182</v>
      </c>
      <c r="Y25">
        <f t="shared" si="11"/>
        <v>0.002714837594758659</v>
      </c>
      <c r="Z25">
        <f t="shared" si="12"/>
        <v>635.0846119887528</v>
      </c>
    </row>
    <row r="26" spans="4:26" ht="12.75">
      <c r="D26">
        <v>259</v>
      </c>
      <c r="E26">
        <f t="shared" si="1"/>
        <v>268.335</v>
      </c>
      <c r="H26">
        <f t="shared" si="13"/>
        <v>19</v>
      </c>
      <c r="I26">
        <f t="shared" si="2"/>
        <v>40</v>
      </c>
      <c r="J26" s="13">
        <v>30.42816</v>
      </c>
      <c r="K26" s="14">
        <v>28197.488</v>
      </c>
      <c r="L26" s="14">
        <v>452.785</v>
      </c>
      <c r="N26">
        <f t="shared" si="3"/>
        <v>-6.493427304127572</v>
      </c>
      <c r="O26">
        <f t="shared" si="4"/>
        <v>3.210500159824126E-07</v>
      </c>
      <c r="P26">
        <f t="shared" si="5"/>
        <v>4.719435234941465E-06</v>
      </c>
      <c r="Q26">
        <v>602.9</v>
      </c>
      <c r="R26">
        <f t="shared" si="6"/>
        <v>590.3166666666666</v>
      </c>
      <c r="T26">
        <f t="shared" si="14"/>
        <v>19</v>
      </c>
      <c r="U26">
        <f t="shared" si="7"/>
        <v>590.3166666666666</v>
      </c>
      <c r="V26">
        <f t="shared" si="8"/>
        <v>1.6940060419548832</v>
      </c>
      <c r="W26">
        <f t="shared" si="9"/>
        <v>1.5957023725111705</v>
      </c>
      <c r="X26">
        <f t="shared" si="10"/>
        <v>626.6832820623632</v>
      </c>
      <c r="Y26">
        <f t="shared" si="11"/>
        <v>0.009663611426098737</v>
      </c>
      <c r="Z26">
        <f t="shared" si="12"/>
        <v>668.3599077122539</v>
      </c>
    </row>
    <row r="32" spans="3:6" ht="12.75">
      <c r="C32" t="s">
        <v>369</v>
      </c>
      <c r="F32" t="s">
        <v>370</v>
      </c>
    </row>
    <row r="33" spans="3:9" ht="12.75">
      <c r="C33" t="s">
        <v>371</v>
      </c>
      <c r="D33">
        <v>0</v>
      </c>
      <c r="E33">
        <v>50</v>
      </c>
      <c r="F33" s="71" t="s">
        <v>372</v>
      </c>
      <c r="G33" s="71"/>
      <c r="I33" s="71"/>
    </row>
    <row r="34" spans="3:10" ht="12.75">
      <c r="C34" t="s">
        <v>28</v>
      </c>
      <c r="J34" s="71"/>
    </row>
    <row r="35" spans="3:9" ht="12.75">
      <c r="C35" s="56" t="s">
        <v>127</v>
      </c>
      <c r="D35">
        <v>829</v>
      </c>
      <c r="E35" s="56">
        <v>793</v>
      </c>
      <c r="F35">
        <f>(D35-E35)/50</f>
        <v>0.72</v>
      </c>
      <c r="G35" s="56" t="s">
        <v>373</v>
      </c>
      <c r="H35" s="56"/>
      <c r="I35">
        <v>425</v>
      </c>
    </row>
    <row r="36" spans="2:11" ht="12.75">
      <c r="B36" s="56"/>
      <c r="C36" t="s">
        <v>126</v>
      </c>
      <c r="D36">
        <v>822</v>
      </c>
      <c r="E36">
        <v>786</v>
      </c>
      <c r="F36">
        <f>(D36-E36)/50</f>
        <v>0.72</v>
      </c>
      <c r="G36" s="56" t="s">
        <v>373</v>
      </c>
      <c r="I36">
        <v>390</v>
      </c>
      <c r="K36" s="56"/>
    </row>
    <row r="37" spans="3:9" ht="12.75">
      <c r="C37" t="s">
        <v>130</v>
      </c>
      <c r="D37">
        <v>803</v>
      </c>
      <c r="E37">
        <v>766</v>
      </c>
      <c r="F37">
        <f>(D37-E37)/50</f>
        <v>0.74</v>
      </c>
      <c r="G37" s="56" t="s">
        <v>373</v>
      </c>
      <c r="H37" s="19"/>
      <c r="I37">
        <v>360</v>
      </c>
    </row>
    <row r="38" spans="2:9" ht="12.75">
      <c r="B38" s="19"/>
      <c r="C38" t="s">
        <v>374</v>
      </c>
      <c r="D38">
        <v>775</v>
      </c>
      <c r="E38">
        <v>737</v>
      </c>
      <c r="F38">
        <f>(D38-E38)/50</f>
        <v>0.76</v>
      </c>
      <c r="G38" s="56" t="s">
        <v>373</v>
      </c>
      <c r="H38" s="19"/>
      <c r="I38">
        <v>295</v>
      </c>
    </row>
    <row r="39" spans="2:9" ht="12.75">
      <c r="B39" s="19"/>
      <c r="C39" t="s">
        <v>95</v>
      </c>
      <c r="D39">
        <v>717</v>
      </c>
      <c r="E39">
        <v>673</v>
      </c>
      <c r="F39">
        <f>(D39-E39)/50</f>
        <v>0.88</v>
      </c>
      <c r="G39" s="56" t="s">
        <v>373</v>
      </c>
      <c r="H39" s="19"/>
      <c r="I39">
        <v>200</v>
      </c>
    </row>
    <row r="40" spans="2:8" ht="12.75">
      <c r="B40" s="19"/>
      <c r="G40" s="19"/>
      <c r="H40" s="19"/>
    </row>
    <row r="41" spans="2:8" ht="12.75">
      <c r="B41" s="19"/>
      <c r="G41" s="19"/>
      <c r="H41" s="19"/>
    </row>
    <row r="42" spans="2:10" ht="12.75">
      <c r="B42" s="19"/>
      <c r="D42">
        <f>619.44+0.5083*H42</f>
        <v>825.2100222404082</v>
      </c>
      <c r="H42" s="71">
        <f>'Input form'!H11</f>
        <v>404.820031950439</v>
      </c>
      <c r="I42" s="19" t="s">
        <v>375</v>
      </c>
      <c r="J42" t="s">
        <v>74</v>
      </c>
    </row>
    <row r="43" spans="2:10" ht="12.75">
      <c r="B43" s="19"/>
      <c r="D43">
        <f>-0.0007*H42+1.00018</f>
        <v>0.7168059776346928</v>
      </c>
      <c r="H43" s="71">
        <f>Sheet1!B16</f>
        <v>55.45401679144965</v>
      </c>
      <c r="I43" s="19" t="s">
        <v>376</v>
      </c>
      <c r="J43" t="s">
        <v>377</v>
      </c>
    </row>
    <row r="44" spans="2:8" ht="12.75">
      <c r="B44" s="19"/>
      <c r="C44" t="s">
        <v>30</v>
      </c>
      <c r="D44" s="17">
        <f>D42-D43*H43</f>
        <v>785.4602515204425</v>
      </c>
      <c r="E44" t="s">
        <v>379</v>
      </c>
      <c r="G44" s="19"/>
      <c r="H44" s="19"/>
    </row>
    <row r="45" spans="2:8" ht="12.75">
      <c r="B45" s="19"/>
      <c r="G45" s="19"/>
      <c r="H45" s="19"/>
    </row>
    <row r="46" spans="2:9" ht="12.75">
      <c r="B46" s="19"/>
      <c r="C46" s="19"/>
      <c r="H46" s="19"/>
      <c r="I46" s="19"/>
    </row>
    <row r="47" spans="2:9" ht="12.75">
      <c r="B47" s="19"/>
      <c r="C47" s="19"/>
      <c r="H47" s="19"/>
      <c r="I47" s="19"/>
    </row>
    <row r="48" spans="2:9" ht="12.75">
      <c r="B48" s="19"/>
      <c r="C48" s="19"/>
      <c r="H48" s="19"/>
      <c r="I48" s="19"/>
    </row>
    <row r="49" spans="2:9" ht="12.75">
      <c r="B49" s="19"/>
      <c r="C49" s="19"/>
      <c r="H49" s="19"/>
      <c r="I49" s="19"/>
    </row>
    <row r="50" spans="2:9" ht="12.75">
      <c r="B50" s="19"/>
      <c r="C50" s="19"/>
      <c r="H50" s="19"/>
      <c r="I50" s="19"/>
    </row>
    <row r="51" spans="2:9" ht="12.75">
      <c r="B51" s="19"/>
      <c r="C51" s="19"/>
      <c r="H51" s="19"/>
      <c r="I51" s="19"/>
    </row>
    <row r="52" spans="2:9" ht="12.75">
      <c r="B52" s="19"/>
      <c r="C52" s="19"/>
      <c r="H52" s="19"/>
      <c r="I52" s="19"/>
    </row>
    <row r="53" spans="2:9" ht="12.75">
      <c r="B53" s="19"/>
      <c r="C53" s="19"/>
      <c r="H53" s="19"/>
      <c r="I53" s="19"/>
    </row>
    <row r="54" spans="2:9" ht="12.75">
      <c r="B54" s="19"/>
      <c r="C54" s="19"/>
      <c r="H54" s="19"/>
      <c r="I54" s="19"/>
    </row>
    <row r="55" spans="2:9" ht="12.75">
      <c r="B55" s="19"/>
      <c r="C55" s="19"/>
      <c r="H55" s="19"/>
      <c r="I55" s="19"/>
    </row>
    <row r="56" spans="2:9" ht="12.75">
      <c r="B56" s="19"/>
      <c r="C56" s="19"/>
      <c r="H56" s="19"/>
      <c r="I56" s="19"/>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4"/>
  <dimension ref="A1:T127"/>
  <sheetViews>
    <sheetView workbookViewId="0" topLeftCell="A1">
      <selection activeCell="O26" sqref="O26"/>
    </sheetView>
  </sheetViews>
  <sheetFormatPr defaultColWidth="9.140625" defaultRowHeight="12.75"/>
  <cols>
    <col min="1" max="16" width="8.8515625" style="199" customWidth="1"/>
    <col min="17" max="17" width="11.28125" style="199" customWidth="1"/>
    <col min="18" max="16384" width="8.8515625" style="199" customWidth="1"/>
  </cols>
  <sheetData>
    <row r="1" ht="15.75">
      <c r="B1" s="200" t="s">
        <v>349</v>
      </c>
    </row>
    <row r="2" spans="2:17" ht="12.75">
      <c r="B2" s="201" t="s">
        <v>335</v>
      </c>
      <c r="Q2" s="199">
        <f>MIN($Q$29)</f>
        <v>0</v>
      </c>
    </row>
    <row r="3" spans="1:17" ht="12.75">
      <c r="A3" s="202"/>
      <c r="B3" s="202"/>
      <c r="C3" s="202"/>
      <c r="D3" s="202"/>
      <c r="E3" s="202"/>
      <c r="F3" s="202"/>
      <c r="G3" s="202"/>
      <c r="H3" s="202"/>
      <c r="I3" s="202"/>
      <c r="J3" s="202"/>
      <c r="K3" s="202"/>
      <c r="L3" s="202"/>
      <c r="M3" s="202"/>
      <c r="N3" s="202"/>
      <c r="Q3" s="199">
        <f>MIN($Q$30)</f>
        <v>0</v>
      </c>
    </row>
    <row r="4" spans="1:17" ht="15.75">
      <c r="A4" s="202"/>
      <c r="B4" s="203" t="s">
        <v>336</v>
      </c>
      <c r="C4" s="202"/>
      <c r="D4" s="202"/>
      <c r="E4" s="202"/>
      <c r="F4" s="202"/>
      <c r="G4" s="203" t="s">
        <v>337</v>
      </c>
      <c r="H4" s="202"/>
      <c r="I4" s="202"/>
      <c r="J4" s="202"/>
      <c r="K4" s="202"/>
      <c r="L4" s="202"/>
      <c r="M4" s="202"/>
      <c r="N4" s="202"/>
      <c r="Q4" s="199">
        <f>COUNT($Q$26:$Q$27)</f>
        <v>2</v>
      </c>
    </row>
    <row r="5" spans="1:17" ht="14.25">
      <c r="A5" s="202"/>
      <c r="B5" s="204" t="s">
        <v>338</v>
      </c>
      <c r="C5" s="202"/>
      <c r="D5" s="202"/>
      <c r="E5" s="202"/>
      <c r="F5" s="202"/>
      <c r="G5" s="202"/>
      <c r="H5" s="202"/>
      <c r="I5" s="202"/>
      <c r="J5" s="202"/>
      <c r="K5" s="202"/>
      <c r="L5" s="202"/>
      <c r="M5" s="202"/>
      <c r="N5" s="202"/>
      <c r="Q5" s="199" t="b">
        <f>$S$29=0</f>
        <v>1</v>
      </c>
    </row>
    <row r="6" spans="1:17" ht="12.75">
      <c r="A6" s="202"/>
      <c r="B6" s="205" t="s">
        <v>339</v>
      </c>
      <c r="C6" s="205" t="s">
        <v>10</v>
      </c>
      <c r="D6" s="202"/>
      <c r="E6" s="202"/>
      <c r="F6" s="202"/>
      <c r="G6" s="205" t="s">
        <v>339</v>
      </c>
      <c r="H6" s="205" t="s">
        <v>10</v>
      </c>
      <c r="I6" s="202"/>
      <c r="J6" s="206" t="s">
        <v>340</v>
      </c>
      <c r="K6" s="202"/>
      <c r="L6" s="202"/>
      <c r="M6" s="202"/>
      <c r="N6" s="202"/>
      <c r="Q6" s="199">
        <f>{100,100,0.001,0.05,FALSE,FALSE,FALSE,1,1,1,0.0001,FALSE}</f>
        <v>100</v>
      </c>
    </row>
    <row r="7" spans="1:16" ht="12.75">
      <c r="A7" s="202"/>
      <c r="B7" s="205" t="s">
        <v>341</v>
      </c>
      <c r="C7" s="205" t="s">
        <v>16</v>
      </c>
      <c r="D7" s="205" t="s">
        <v>163</v>
      </c>
      <c r="E7" s="202"/>
      <c r="F7" s="202"/>
      <c r="G7" s="205" t="s">
        <v>341</v>
      </c>
      <c r="H7" s="205" t="s">
        <v>16</v>
      </c>
      <c r="I7" s="202" t="s">
        <v>163</v>
      </c>
      <c r="J7" s="202"/>
      <c r="K7" s="202"/>
      <c r="L7" s="202"/>
      <c r="M7" s="202"/>
      <c r="N7" s="202"/>
      <c r="O7" s="207"/>
      <c r="P7" s="208"/>
    </row>
    <row r="8" spans="1:16" ht="12.75">
      <c r="A8" s="202"/>
      <c r="B8" s="209">
        <v>1</v>
      </c>
      <c r="C8" s="210">
        <v>308.7</v>
      </c>
      <c r="D8" s="211">
        <f aca="true" t="shared" si="0" ref="D8:D38">(C8+40)*5/9-40</f>
        <v>153.72222222222223</v>
      </c>
      <c r="E8" s="202"/>
      <c r="F8" s="202"/>
      <c r="G8" s="209">
        <v>0.01</v>
      </c>
      <c r="H8" s="212">
        <f>data!M14</f>
        <v>-113.86615246630339</v>
      </c>
      <c r="I8" s="211">
        <f aca="true" t="shared" si="1" ref="I8:I39">(H8+40)*5/9-40</f>
        <v>-81.03675137016856</v>
      </c>
      <c r="J8" s="202"/>
      <c r="K8" s="202"/>
      <c r="L8" s="202"/>
      <c r="M8" s="202"/>
      <c r="N8" s="202"/>
      <c r="O8" s="207"/>
      <c r="P8" s="208"/>
    </row>
    <row r="9" spans="1:16" ht="12.75">
      <c r="A9" s="202"/>
      <c r="B9" s="209">
        <v>2</v>
      </c>
      <c r="C9" s="210">
        <v>316.4</v>
      </c>
      <c r="D9" s="211">
        <f t="shared" si="0"/>
        <v>158</v>
      </c>
      <c r="E9" s="202"/>
      <c r="F9" s="202"/>
      <c r="G9" s="209">
        <v>0.1</v>
      </c>
      <c r="H9" s="212">
        <f>data!M15</f>
        <v>-18.817751168477855</v>
      </c>
      <c r="I9" s="211">
        <f t="shared" si="1"/>
        <v>-28.232083982487698</v>
      </c>
      <c r="J9" s="202"/>
      <c r="K9" s="202"/>
      <c r="L9" s="202"/>
      <c r="M9" s="202"/>
      <c r="N9" s="202"/>
      <c r="O9" s="207"/>
      <c r="P9" s="208"/>
    </row>
    <row r="10" spans="1:16" ht="12.75">
      <c r="A10" s="202"/>
      <c r="B10" s="209">
        <v>3</v>
      </c>
      <c r="C10" s="210">
        <v>324</v>
      </c>
      <c r="D10" s="211">
        <f t="shared" si="0"/>
        <v>162.22222222222223</v>
      </c>
      <c r="E10" s="202"/>
      <c r="F10" s="202"/>
      <c r="G10" s="209">
        <v>0.2</v>
      </c>
      <c r="H10" s="212">
        <f>data!M16</f>
        <v>13.23807121727782</v>
      </c>
      <c r="I10" s="211">
        <f t="shared" si="1"/>
        <v>-10.42329376817899</v>
      </c>
      <c r="J10" s="202"/>
      <c r="K10" s="202"/>
      <c r="L10" s="202"/>
      <c r="M10" s="202"/>
      <c r="N10" s="202"/>
      <c r="O10" s="207"/>
      <c r="P10" s="208"/>
    </row>
    <row r="11" spans="1:16" ht="12.75">
      <c r="A11" s="202"/>
      <c r="B11" s="209">
        <v>4</v>
      </c>
      <c r="C11" s="210">
        <v>329.4</v>
      </c>
      <c r="D11" s="211">
        <f t="shared" si="0"/>
        <v>165.22222222222223</v>
      </c>
      <c r="E11" s="202"/>
      <c r="F11" s="202"/>
      <c r="G11" s="209">
        <v>0.3</v>
      </c>
      <c r="H11" s="212">
        <f>data!M17</f>
        <v>32.945633556319706</v>
      </c>
      <c r="I11" s="211">
        <f t="shared" si="1"/>
        <v>0.525351975733173</v>
      </c>
      <c r="J11" s="202"/>
      <c r="K11" s="202"/>
      <c r="L11" s="202"/>
      <c r="M11" s="202"/>
      <c r="N11" s="202"/>
      <c r="O11" s="207"/>
      <c r="P11" s="208"/>
    </row>
    <row r="12" spans="1:16" ht="12.75">
      <c r="A12" s="202"/>
      <c r="B12" s="209">
        <v>5</v>
      </c>
      <c r="C12" s="210">
        <v>334</v>
      </c>
      <c r="D12" s="211">
        <f t="shared" si="0"/>
        <v>167.77777777777777</v>
      </c>
      <c r="E12" s="202"/>
      <c r="F12" s="202"/>
      <c r="G12" s="209">
        <v>0.4</v>
      </c>
      <c r="H12" s="212">
        <f>data!M18</f>
        <v>47.412745343656866</v>
      </c>
      <c r="I12" s="211">
        <f t="shared" si="1"/>
        <v>8.562636302031592</v>
      </c>
      <c r="J12" s="202"/>
      <c r="K12" s="202"/>
      <c r="L12" s="202"/>
      <c r="M12" s="202"/>
      <c r="N12" s="202"/>
      <c r="O12" s="207"/>
      <c r="P12" s="208"/>
    </row>
    <row r="13" spans="1:16" ht="12.75">
      <c r="A13" s="202"/>
      <c r="B13" s="209">
        <v>10</v>
      </c>
      <c r="C13" s="210">
        <v>346</v>
      </c>
      <c r="D13" s="211">
        <f t="shared" si="0"/>
        <v>174.44444444444446</v>
      </c>
      <c r="E13" s="202"/>
      <c r="F13" s="202"/>
      <c r="G13" s="209">
        <v>0.5</v>
      </c>
      <c r="H13" s="212">
        <f>data!M19</f>
        <v>58.93668006906421</v>
      </c>
      <c r="I13" s="211">
        <f t="shared" si="1"/>
        <v>14.964822260591227</v>
      </c>
      <c r="J13" s="202"/>
      <c r="K13" s="202"/>
      <c r="L13" s="202"/>
      <c r="M13" s="202"/>
      <c r="N13" s="202"/>
      <c r="O13" s="207"/>
      <c r="P13" s="208"/>
    </row>
    <row r="14" spans="1:16" ht="12.75">
      <c r="A14" s="202"/>
      <c r="B14" s="209">
        <v>15</v>
      </c>
      <c r="C14" s="210">
        <v>355.4</v>
      </c>
      <c r="D14" s="211">
        <f t="shared" si="0"/>
        <v>179.66666666666666</v>
      </c>
      <c r="E14" s="202"/>
      <c r="F14" s="202"/>
      <c r="G14" s="209">
        <v>0.6</v>
      </c>
      <c r="H14" s="212">
        <f>data!M20</f>
        <v>68.56277815582598</v>
      </c>
      <c r="I14" s="211">
        <f t="shared" si="1"/>
        <v>20.31265453101443</v>
      </c>
      <c r="J14" s="202"/>
      <c r="K14" s="202"/>
      <c r="L14" s="202"/>
      <c r="M14" s="202"/>
      <c r="N14" s="202"/>
      <c r="O14" s="207"/>
      <c r="P14" s="208"/>
    </row>
    <row r="15" spans="1:16" ht="12.75">
      <c r="A15" s="202"/>
      <c r="B15" s="209">
        <v>20</v>
      </c>
      <c r="C15" s="210">
        <v>364.7</v>
      </c>
      <c r="D15" s="211">
        <f t="shared" si="0"/>
        <v>184.83333333333334</v>
      </c>
      <c r="E15" s="202"/>
      <c r="F15" s="202"/>
      <c r="G15" s="209">
        <v>0.7</v>
      </c>
      <c r="H15" s="212">
        <f>data!M21</f>
        <v>76.85810441160748</v>
      </c>
      <c r="I15" s="211">
        <f t="shared" si="1"/>
        <v>24.921169117559714</v>
      </c>
      <c r="J15" s="202"/>
      <c r="K15" s="202"/>
      <c r="L15" s="202"/>
      <c r="M15" s="202"/>
      <c r="N15" s="202"/>
      <c r="O15" s="207"/>
      <c r="P15" s="208"/>
    </row>
    <row r="16" spans="1:16" ht="12.75">
      <c r="A16" s="202"/>
      <c r="B16" s="209">
        <v>25</v>
      </c>
      <c r="C16" s="210">
        <v>370.4</v>
      </c>
      <c r="D16" s="211">
        <f t="shared" si="0"/>
        <v>188</v>
      </c>
      <c r="E16" s="202"/>
      <c r="F16" s="202"/>
      <c r="G16" s="209">
        <v>0.8</v>
      </c>
      <c r="H16" s="212">
        <f>data!M22</f>
        <v>84.16592679544118</v>
      </c>
      <c r="I16" s="211">
        <f t="shared" si="1"/>
        <v>28.98107044191177</v>
      </c>
      <c r="J16" s="202"/>
      <c r="K16" s="202"/>
      <c r="L16" s="202"/>
      <c r="M16" s="202"/>
      <c r="N16" s="202"/>
      <c r="O16" s="207"/>
      <c r="P16" s="208"/>
    </row>
    <row r="17" spans="1:16" ht="12.75">
      <c r="A17" s="202"/>
      <c r="B17" s="209">
        <v>30</v>
      </c>
      <c r="C17" s="210">
        <v>377.5</v>
      </c>
      <c r="D17" s="211">
        <f t="shared" si="0"/>
        <v>191.94444444444446</v>
      </c>
      <c r="E17" s="202"/>
      <c r="F17" s="202"/>
      <c r="G17" s="209">
        <v>1</v>
      </c>
      <c r="H17" s="212">
        <f>data!M23</f>
        <v>96.64607290386203</v>
      </c>
      <c r="I17" s="211">
        <f t="shared" si="1"/>
        <v>35.91448494659001</v>
      </c>
      <c r="J17" s="202"/>
      <c r="K17" s="202"/>
      <c r="L17" s="202"/>
      <c r="M17" s="202"/>
      <c r="N17" s="202"/>
      <c r="O17" s="207"/>
      <c r="P17" s="208"/>
    </row>
    <row r="18" spans="1:16" ht="12.75">
      <c r="A18" s="202"/>
      <c r="B18" s="209">
        <v>35</v>
      </c>
      <c r="C18" s="210">
        <v>384</v>
      </c>
      <c r="D18" s="211">
        <f t="shared" si="0"/>
        <v>195.55555555555554</v>
      </c>
      <c r="E18" s="202"/>
      <c r="F18" s="202"/>
      <c r="G18" s="209">
        <v>2</v>
      </c>
      <c r="H18" s="212">
        <f>data!M24</f>
        <v>137.84930435501627</v>
      </c>
      <c r="I18" s="211">
        <f t="shared" si="1"/>
        <v>58.80516908612016</v>
      </c>
      <c r="J18" s="202"/>
      <c r="K18" s="202"/>
      <c r="L18" s="202"/>
      <c r="M18" s="202"/>
      <c r="N18" s="202"/>
      <c r="O18" s="207"/>
      <c r="P18" s="208"/>
    </row>
    <row r="19" spans="1:16" ht="12.75">
      <c r="A19" s="202"/>
      <c r="B19" s="209">
        <v>40</v>
      </c>
      <c r="C19" s="210">
        <v>390.4</v>
      </c>
      <c r="D19" s="211">
        <f t="shared" si="0"/>
        <v>199.11111111111111</v>
      </c>
      <c r="E19" s="202"/>
      <c r="F19" s="202"/>
      <c r="G19" s="209">
        <v>3</v>
      </c>
      <c r="H19" s="212">
        <f>data!M25</f>
        <v>163.99131851106858</v>
      </c>
      <c r="I19" s="211">
        <f t="shared" si="1"/>
        <v>73.32851028392699</v>
      </c>
      <c r="J19" s="202"/>
      <c r="K19" s="202"/>
      <c r="L19" s="202"/>
      <c r="M19" s="202"/>
      <c r="N19" s="202"/>
      <c r="O19" s="207"/>
      <c r="P19" s="208"/>
    </row>
    <row r="20" spans="1:16" ht="12.75">
      <c r="A20" s="202"/>
      <c r="B20" s="209">
        <v>45</v>
      </c>
      <c r="C20" s="210">
        <v>397.3</v>
      </c>
      <c r="D20" s="211">
        <f t="shared" si="0"/>
        <v>202.94444444444446</v>
      </c>
      <c r="E20" s="202"/>
      <c r="F20" s="202"/>
      <c r="G20" s="209">
        <v>4</v>
      </c>
      <c r="H20" s="212">
        <f>data!M26</f>
        <v>183.65691816703622</v>
      </c>
      <c r="I20" s="211">
        <f t="shared" si="1"/>
        <v>84.25384342613123</v>
      </c>
      <c r="J20" s="202"/>
      <c r="K20" s="202"/>
      <c r="L20" s="202"/>
      <c r="M20" s="202"/>
      <c r="N20" s="202"/>
      <c r="O20" s="207"/>
      <c r="P20" s="213" t="s">
        <v>342</v>
      </c>
    </row>
    <row r="21" spans="1:20" ht="12.75">
      <c r="A21" s="202"/>
      <c r="B21" s="209">
        <v>50</v>
      </c>
      <c r="C21" s="210">
        <v>403.3</v>
      </c>
      <c r="D21" s="211">
        <f t="shared" si="0"/>
        <v>206.27777777777777</v>
      </c>
      <c r="E21" s="202"/>
      <c r="F21" s="202"/>
      <c r="G21" s="209">
        <v>5</v>
      </c>
      <c r="H21" s="212">
        <f>data!M27</f>
        <v>199.65336885159542</v>
      </c>
      <c r="I21" s="211">
        <f t="shared" si="1"/>
        <v>93.14076047310857</v>
      </c>
      <c r="J21" s="202"/>
      <c r="K21" s="202"/>
      <c r="L21" s="202"/>
      <c r="M21" s="202"/>
      <c r="N21" s="202"/>
      <c r="O21" s="207"/>
      <c r="P21" s="214" t="s">
        <v>343</v>
      </c>
      <c r="Q21" s="215" t="s">
        <v>344</v>
      </c>
      <c r="R21" s="216" t="s">
        <v>345</v>
      </c>
      <c r="S21" s="217"/>
      <c r="T21" s="217"/>
    </row>
    <row r="22" spans="1:20" ht="12.75" customHeight="1">
      <c r="A22" s="202"/>
      <c r="B22" s="209">
        <v>55</v>
      </c>
      <c r="C22" s="210">
        <v>410</v>
      </c>
      <c r="D22" s="211">
        <f t="shared" si="0"/>
        <v>210</v>
      </c>
      <c r="E22" s="202"/>
      <c r="F22" s="202"/>
      <c r="G22" s="209">
        <v>6</v>
      </c>
      <c r="H22" s="212">
        <f>data!M28</f>
        <v>213.2688688336414</v>
      </c>
      <c r="I22" s="211">
        <f t="shared" si="1"/>
        <v>100.70492712980078</v>
      </c>
      <c r="J22" s="202"/>
      <c r="K22" s="202"/>
      <c r="L22" s="202"/>
      <c r="M22" s="202"/>
      <c r="N22" s="202"/>
      <c r="O22" s="207"/>
      <c r="P22" s="214" t="s">
        <v>71</v>
      </c>
      <c r="Q22" s="218">
        <v>6.83201374470637E-05</v>
      </c>
      <c r="R22" s="218">
        <v>6.83201374470637E-05</v>
      </c>
      <c r="S22" s="274" t="s">
        <v>346</v>
      </c>
      <c r="T22" s="274"/>
    </row>
    <row r="23" spans="1:20" ht="12.75">
      <c r="A23" s="202"/>
      <c r="B23" s="209">
        <v>60</v>
      </c>
      <c r="C23" s="210">
        <v>417</v>
      </c>
      <c r="D23" s="211">
        <f t="shared" si="0"/>
        <v>213.88888888888889</v>
      </c>
      <c r="E23" s="202"/>
      <c r="F23" s="202"/>
      <c r="G23" s="209">
        <v>7</v>
      </c>
      <c r="H23" s="212">
        <f>data!M29</f>
        <v>225.2070076055366</v>
      </c>
      <c r="I23" s="211">
        <f t="shared" si="1"/>
        <v>107.33722644752032</v>
      </c>
      <c r="J23" s="202"/>
      <c r="K23" s="202"/>
      <c r="L23" s="202"/>
      <c r="M23" s="202"/>
      <c r="N23" s="202"/>
      <c r="O23" s="207"/>
      <c r="P23" s="214" t="s">
        <v>72</v>
      </c>
      <c r="Q23" s="216">
        <v>-0.006200018475776507</v>
      </c>
      <c r="R23" s="216">
        <v>-0.006200018475776507</v>
      </c>
      <c r="S23" s="274"/>
      <c r="T23" s="274"/>
    </row>
    <row r="24" spans="1:20" ht="12.75">
      <c r="A24" s="202"/>
      <c r="B24" s="209">
        <v>65</v>
      </c>
      <c r="C24" s="210">
        <v>424</v>
      </c>
      <c r="D24" s="211">
        <f t="shared" si="0"/>
        <v>217.77777777777777</v>
      </c>
      <c r="E24" s="202"/>
      <c r="F24" s="202"/>
      <c r="G24" s="209">
        <v>8</v>
      </c>
      <c r="H24" s="212">
        <f>data!M30</f>
        <v>235.89619507905675</v>
      </c>
      <c r="I24" s="211">
        <f t="shared" si="1"/>
        <v>113.2756639328093</v>
      </c>
      <c r="J24" s="202"/>
      <c r="K24" s="202"/>
      <c r="L24" s="202"/>
      <c r="M24" s="202"/>
      <c r="N24" s="202"/>
      <c r="O24" s="207"/>
      <c r="P24" s="214" t="s">
        <v>73</v>
      </c>
      <c r="Q24" s="216">
        <v>0.7277999997780462</v>
      </c>
      <c r="R24" s="216">
        <v>0.7277999997780462</v>
      </c>
      <c r="S24" s="274"/>
      <c r="T24" s="274"/>
    </row>
    <row r="25" spans="1:20" ht="12.75">
      <c r="A25" s="202"/>
      <c r="B25" s="209">
        <v>70</v>
      </c>
      <c r="C25" s="210">
        <v>431.4</v>
      </c>
      <c r="D25" s="211">
        <f t="shared" si="0"/>
        <v>221.8888888888889</v>
      </c>
      <c r="E25" s="202"/>
      <c r="F25" s="202"/>
      <c r="G25" s="209">
        <v>9</v>
      </c>
      <c r="H25" s="212">
        <f>data!M31</f>
        <v>245.6175902799286</v>
      </c>
      <c r="I25" s="211">
        <f t="shared" si="1"/>
        <v>118.67643904440479</v>
      </c>
      <c r="J25" s="202"/>
      <c r="K25" s="202"/>
      <c r="L25" s="202"/>
      <c r="M25" s="202"/>
      <c r="N25" s="202"/>
      <c r="O25" s="207"/>
      <c r="P25" s="214" t="s">
        <v>347</v>
      </c>
      <c r="Q25" s="216">
        <v>18.06599999999648</v>
      </c>
      <c r="R25" s="216">
        <v>18.06599999999648</v>
      </c>
      <c r="S25" s="274"/>
      <c r="T25" s="274"/>
    </row>
    <row r="26" spans="1:17" ht="12.75">
      <c r="A26" s="202"/>
      <c r="B26" s="209">
        <v>75</v>
      </c>
      <c r="C26" s="210">
        <v>439.6</v>
      </c>
      <c r="D26" s="211">
        <f t="shared" si="0"/>
        <v>226.44444444444446</v>
      </c>
      <c r="E26" s="202"/>
      <c r="F26" s="202"/>
      <c r="G26" s="209">
        <v>10</v>
      </c>
      <c r="H26" s="212">
        <f>data!M32</f>
        <v>254.56615604466873</v>
      </c>
      <c r="I26" s="211">
        <f t="shared" si="1"/>
        <v>123.64786446926041</v>
      </c>
      <c r="J26" s="202"/>
      <c r="K26" s="202"/>
      <c r="L26" s="202"/>
      <c r="M26" s="202"/>
      <c r="N26" s="202"/>
      <c r="O26" s="207"/>
      <c r="P26" s="208"/>
      <c r="Q26" s="199">
        <v>0</v>
      </c>
    </row>
    <row r="27" spans="1:17" ht="12.75">
      <c r="A27" s="202"/>
      <c r="B27" s="209">
        <v>80</v>
      </c>
      <c r="C27" s="210">
        <v>448.4</v>
      </c>
      <c r="D27" s="211">
        <f t="shared" si="0"/>
        <v>231.33333333333331</v>
      </c>
      <c r="E27" s="202"/>
      <c r="F27" s="202"/>
      <c r="G27" s="209">
        <v>11</v>
      </c>
      <c r="H27" s="212">
        <f>data!M33</f>
        <v>262.88291842303556</v>
      </c>
      <c r="I27" s="211">
        <f t="shared" si="1"/>
        <v>128.26828801279754</v>
      </c>
      <c r="J27" s="202"/>
      <c r="K27" s="202"/>
      <c r="L27" s="202"/>
      <c r="M27" s="202"/>
      <c r="N27" s="202"/>
      <c r="O27" s="207"/>
      <c r="P27" s="208"/>
      <c r="Q27" s="199">
        <v>0</v>
      </c>
    </row>
    <row r="28" spans="1:17" ht="12.75">
      <c r="A28" s="202"/>
      <c r="B28" s="209">
        <v>85</v>
      </c>
      <c r="C28" s="210">
        <v>458.8</v>
      </c>
      <c r="D28" s="211">
        <f t="shared" si="0"/>
        <v>237.1111111111111</v>
      </c>
      <c r="E28" s="202"/>
      <c r="F28" s="202"/>
      <c r="G28" s="209">
        <v>12</v>
      </c>
      <c r="H28" s="212">
        <f>data!M34</f>
        <v>270.6733639389239</v>
      </c>
      <c r="I28" s="211">
        <f t="shared" si="1"/>
        <v>132.59631329940217</v>
      </c>
      <c r="J28" s="202"/>
      <c r="K28" s="202"/>
      <c r="L28" s="202"/>
      <c r="M28" s="202"/>
      <c r="N28" s="202"/>
      <c r="O28" s="207"/>
      <c r="P28" s="208"/>
      <c r="Q28" s="199">
        <f>data1!S9</f>
        <v>91.50422167258155</v>
      </c>
    </row>
    <row r="29" spans="1:19" ht="13.5" thickBot="1">
      <c r="A29" s="202"/>
      <c r="B29" s="209">
        <v>90</v>
      </c>
      <c r="C29" s="199">
        <v>471.5</v>
      </c>
      <c r="D29" s="211">
        <f t="shared" si="0"/>
        <v>244.16666666666669</v>
      </c>
      <c r="E29" s="202"/>
      <c r="F29" s="202"/>
      <c r="G29" s="209">
        <v>13</v>
      </c>
      <c r="H29" s="212">
        <f>data!M35</f>
        <v>278.01857594610976</v>
      </c>
      <c r="I29" s="211">
        <f t="shared" si="1"/>
        <v>136.67698663672763</v>
      </c>
      <c r="J29" s="202"/>
      <c r="K29" s="202"/>
      <c r="L29" s="202"/>
      <c r="M29" s="202"/>
      <c r="N29" s="202"/>
      <c r="O29" s="207"/>
      <c r="P29" s="208"/>
      <c r="S29" s="199">
        <v>0</v>
      </c>
    </row>
    <row r="30" spans="1:16" ht="12.75">
      <c r="A30" s="202"/>
      <c r="B30" s="209">
        <v>91</v>
      </c>
      <c r="C30" s="210">
        <v>472</v>
      </c>
      <c r="D30" s="211">
        <f t="shared" si="0"/>
        <v>244.44444444444446</v>
      </c>
      <c r="E30" s="202"/>
      <c r="F30" s="202"/>
      <c r="G30" s="209">
        <v>14</v>
      </c>
      <c r="H30" s="212">
        <f>data!M36</f>
        <v>284.9823068634938</v>
      </c>
      <c r="I30" s="211">
        <f t="shared" si="1"/>
        <v>140.54572603527433</v>
      </c>
      <c r="J30" s="219" t="s">
        <v>348</v>
      </c>
      <c r="K30" s="220"/>
      <c r="L30" s="221"/>
      <c r="M30" s="202"/>
      <c r="N30" s="202"/>
      <c r="O30" s="207"/>
      <c r="P30" s="208"/>
    </row>
    <row r="31" spans="1:16" ht="12.75">
      <c r="A31" s="202"/>
      <c r="B31" s="209">
        <v>92</v>
      </c>
      <c r="C31" s="210">
        <v>472.8</v>
      </c>
      <c r="D31" s="211">
        <f t="shared" si="0"/>
        <v>244.8888888888889</v>
      </c>
      <c r="E31" s="202"/>
      <c r="F31" s="202"/>
      <c r="G31" s="209">
        <v>15</v>
      </c>
      <c r="H31" s="212">
        <f>data!M37</f>
        <v>291.6156501937749</v>
      </c>
      <c r="I31" s="211">
        <f t="shared" si="1"/>
        <v>144.23091677431938</v>
      </c>
      <c r="J31" s="222" t="s">
        <v>16</v>
      </c>
      <c r="K31" s="223" t="str">
        <f>'[1]data'!J4</f>
        <v>lower</v>
      </c>
      <c r="L31" s="224" t="str">
        <f>'[1]data'!K4</f>
        <v>upper</v>
      </c>
      <c r="M31" s="202"/>
      <c r="N31" s="202"/>
      <c r="O31" s="207"/>
      <c r="P31" s="208"/>
    </row>
    <row r="32" spans="1:16" ht="12.75">
      <c r="A32" s="202"/>
      <c r="B32" s="209">
        <v>93</v>
      </c>
      <c r="C32" s="210">
        <v>481.3</v>
      </c>
      <c r="D32" s="211">
        <f t="shared" si="0"/>
        <v>249.6111111111111</v>
      </c>
      <c r="E32" s="202"/>
      <c r="F32" s="202"/>
      <c r="G32" s="209">
        <v>16</v>
      </c>
      <c r="H32" s="212">
        <f>data!M38</f>
        <v>297.9602306808361</v>
      </c>
      <c r="I32" s="211">
        <f t="shared" si="1"/>
        <v>147.7556837115756</v>
      </c>
      <c r="J32" s="222"/>
      <c r="K32" s="225">
        <v>0.3</v>
      </c>
      <c r="L32" s="226">
        <v>0.7</v>
      </c>
      <c r="M32" s="202"/>
      <c r="N32" s="202"/>
      <c r="O32" s="207"/>
      <c r="P32" s="208"/>
    </row>
    <row r="33" spans="1:16" ht="12.75">
      <c r="A33" s="202"/>
      <c r="B33" s="209">
        <v>94</v>
      </c>
      <c r="C33" s="210">
        <v>485.7</v>
      </c>
      <c r="D33" s="211">
        <f t="shared" si="0"/>
        <v>252.05555555555554</v>
      </c>
      <c r="E33" s="202"/>
      <c r="F33" s="202"/>
      <c r="G33" s="209">
        <v>17</v>
      </c>
      <c r="H33" s="212">
        <f>data!M39</f>
        <v>304.05044476978344</v>
      </c>
      <c r="I33" s="211">
        <f t="shared" si="1"/>
        <v>151.13913598321304</v>
      </c>
      <c r="J33" s="227">
        <v>0.5</v>
      </c>
      <c r="K33" s="228">
        <f>data!J6</f>
        <v>448.2718849884348</v>
      </c>
      <c r="L33" s="228">
        <f>data!K6</f>
        <v>405.818005773942</v>
      </c>
      <c r="M33" s="202"/>
      <c r="N33" s="202"/>
      <c r="O33" s="207"/>
      <c r="P33" s="208"/>
    </row>
    <row r="34" spans="1:16" ht="13.5" thickBot="1">
      <c r="A34" s="202"/>
      <c r="B34" s="209">
        <v>95</v>
      </c>
      <c r="C34" s="210">
        <v>491.5</v>
      </c>
      <c r="D34" s="211">
        <f t="shared" si="0"/>
        <v>255.27777777777777</v>
      </c>
      <c r="E34" s="202"/>
      <c r="F34" s="202"/>
      <c r="G34" s="209">
        <v>18</v>
      </c>
      <c r="H34" s="212">
        <f>data!M40</f>
        <v>309.9150727000603</v>
      </c>
      <c r="I34" s="211">
        <f t="shared" si="1"/>
        <v>154.3972626111446</v>
      </c>
      <c r="J34" s="229" t="str">
        <f>'[1]data'!I7</f>
        <v>1 sigma</v>
      </c>
      <c r="K34" s="228">
        <f>data!J7</f>
        <v>151.14933932675788</v>
      </c>
      <c r="L34" s="228">
        <f>data!K7</f>
        <v>67.0319339350105</v>
      </c>
      <c r="M34" s="202"/>
      <c r="N34" s="202"/>
      <c r="O34" s="207"/>
      <c r="P34" s="208"/>
    </row>
    <row r="35" spans="1:16" ht="12.75">
      <c r="A35" s="202"/>
      <c r="B35" s="209">
        <v>96</v>
      </c>
      <c r="C35" s="210">
        <v>495.9</v>
      </c>
      <c r="D35" s="211">
        <f t="shared" si="0"/>
        <v>257.72222222222223</v>
      </c>
      <c r="E35" s="202"/>
      <c r="F35" s="202"/>
      <c r="G35" s="209">
        <v>19</v>
      </c>
      <c r="H35" s="212">
        <f>data!M41</f>
        <v>315.57846322058265</v>
      </c>
      <c r="I35" s="211">
        <f t="shared" si="1"/>
        <v>157.54359067810148</v>
      </c>
      <c r="J35" s="202"/>
      <c r="K35" s="202"/>
      <c r="L35" s="202"/>
      <c r="M35" s="202"/>
      <c r="N35" s="202"/>
      <c r="O35" s="207"/>
      <c r="P35" s="208"/>
    </row>
    <row r="36" spans="1:16" ht="12.75">
      <c r="A36" s="202"/>
      <c r="B36" s="209">
        <v>97</v>
      </c>
      <c r="C36" s="210">
        <v>493.1</v>
      </c>
      <c r="D36" s="211">
        <f t="shared" si="0"/>
        <v>256.1666666666667</v>
      </c>
      <c r="E36" s="202"/>
      <c r="F36" s="202"/>
      <c r="G36" s="209">
        <v>20</v>
      </c>
      <c r="H36" s="212">
        <f>data!M42</f>
        <v>321.06142054643163</v>
      </c>
      <c r="I36" s="211">
        <f t="shared" si="1"/>
        <v>160.5896780813509</v>
      </c>
      <c r="J36" s="202"/>
      <c r="K36" s="202"/>
      <c r="L36" s="202"/>
      <c r="M36" s="202"/>
      <c r="N36" s="202"/>
      <c r="O36" s="207"/>
      <c r="P36" s="208"/>
    </row>
    <row r="37" spans="1:16" ht="12.75">
      <c r="A37" s="202"/>
      <c r="B37" s="209">
        <v>98</v>
      </c>
      <c r="C37" s="210">
        <v>495</v>
      </c>
      <c r="D37" s="211">
        <f t="shared" si="0"/>
        <v>257.22222222222223</v>
      </c>
      <c r="E37" s="202"/>
      <c r="F37" s="202"/>
      <c r="G37" s="209">
        <v>21</v>
      </c>
      <c r="H37" s="212">
        <f>data!M43</f>
        <v>326.38187941845587</v>
      </c>
      <c r="I37" s="211">
        <f t="shared" si="1"/>
        <v>163.5454885658088</v>
      </c>
      <c r="J37" s="202"/>
      <c r="K37" s="202"/>
      <c r="L37" s="202"/>
      <c r="M37" s="202"/>
      <c r="N37" s="202"/>
      <c r="O37" s="207"/>
      <c r="P37" s="208"/>
    </row>
    <row r="38" spans="1:16" ht="12.75">
      <c r="A38" s="202"/>
      <c r="B38" s="209">
        <v>99</v>
      </c>
      <c r="C38" s="210">
        <v>496.5</v>
      </c>
      <c r="D38" s="211">
        <f t="shared" si="0"/>
        <v>258.05555555555554</v>
      </c>
      <c r="E38" s="202"/>
      <c r="F38" s="202"/>
      <c r="G38" s="209">
        <v>22</v>
      </c>
      <c r="H38" s="212">
        <f>data!M44</f>
        <v>331.55542650274293</v>
      </c>
      <c r="I38" s="211">
        <f t="shared" si="1"/>
        <v>166.41968139041273</v>
      </c>
      <c r="J38" s="202"/>
      <c r="K38" s="202"/>
      <c r="L38" s="202"/>
      <c r="M38" s="202"/>
      <c r="N38" s="202"/>
      <c r="O38" s="230"/>
      <c r="P38" s="230"/>
    </row>
    <row r="39" spans="1:16" ht="12.75">
      <c r="A39" s="202"/>
      <c r="B39" s="231"/>
      <c r="C39" s="232"/>
      <c r="D39" s="202"/>
      <c r="E39" s="202"/>
      <c r="F39" s="202"/>
      <c r="G39" s="209">
        <v>23</v>
      </c>
      <c r="H39" s="212">
        <f>data!M45</f>
        <v>336.5957084708242</v>
      </c>
      <c r="I39" s="211">
        <f t="shared" si="1"/>
        <v>169.2198380393468</v>
      </c>
      <c r="J39" s="202"/>
      <c r="K39" s="202"/>
      <c r="L39" s="202"/>
      <c r="M39" s="202"/>
      <c r="N39" s="202"/>
      <c r="O39" s="230"/>
      <c r="P39" s="230"/>
    </row>
    <row r="40" spans="1:16" ht="12.75">
      <c r="A40" s="202"/>
      <c r="B40" s="231"/>
      <c r="C40" s="232"/>
      <c r="D40" s="202"/>
      <c r="E40" s="202"/>
      <c r="F40" s="202"/>
      <c r="G40" s="209">
        <v>24</v>
      </c>
      <c r="H40" s="212">
        <f>data!M46</f>
        <v>341.51475523721683</v>
      </c>
      <c r="I40" s="211">
        <f aca="true" t="shared" si="2" ref="I40:I71">(H40+40)*5/9-40</f>
        <v>171.95264179845378</v>
      </c>
      <c r="J40" s="202"/>
      <c r="K40" s="202"/>
      <c r="L40" s="202"/>
      <c r="M40" s="202"/>
      <c r="N40" s="202"/>
      <c r="O40" s="230"/>
      <c r="P40" s="230"/>
    </row>
    <row r="41" spans="1:16" ht="12.75">
      <c r="A41" s="202"/>
      <c r="B41" s="231"/>
      <c r="C41" s="232"/>
      <c r="D41" s="202"/>
      <c r="E41" s="202"/>
      <c r="F41" s="202"/>
      <c r="G41" s="209">
        <v>25</v>
      </c>
      <c r="H41" s="212">
        <f>data!M47</f>
        <v>346.3232388009002</v>
      </c>
      <c r="I41" s="211">
        <f t="shared" si="2"/>
        <v>174.62402155605565</v>
      </c>
      <c r="J41" s="202"/>
      <c r="K41" s="202"/>
      <c r="L41" s="202"/>
      <c r="M41" s="202"/>
      <c r="N41" s="202"/>
      <c r="O41" s="230"/>
      <c r="P41" s="230"/>
    </row>
    <row r="42" spans="1:16" ht="12.75">
      <c r="A42" s="202"/>
      <c r="B42" s="231"/>
      <c r="C42" s="232"/>
      <c r="D42" s="202"/>
      <c r="E42" s="202"/>
      <c r="F42" s="202"/>
      <c r="G42" s="209">
        <v>26</v>
      </c>
      <c r="H42" s="212">
        <f>data!M48</f>
        <v>351.0306825998937</v>
      </c>
      <c r="I42" s="211">
        <f t="shared" si="2"/>
        <v>177.23926811105204</v>
      </c>
      <c r="J42" s="202"/>
      <c r="K42" s="202"/>
      <c r="L42" s="202"/>
      <c r="M42" s="202"/>
      <c r="N42" s="202"/>
      <c r="O42" s="230"/>
      <c r="P42" s="230"/>
    </row>
    <row r="43" spans="1:16" ht="12.75">
      <c r="A43" s="230"/>
      <c r="B43" s="233"/>
      <c r="C43" s="234"/>
      <c r="D43" s="230"/>
      <c r="E43" s="202"/>
      <c r="F43" s="202"/>
      <c r="G43" s="209">
        <v>27</v>
      </c>
      <c r="H43" s="212">
        <f>data!M49</f>
        <v>355.64563240421796</v>
      </c>
      <c r="I43" s="211">
        <f t="shared" si="2"/>
        <v>179.80312911345442</v>
      </c>
      <c r="J43" s="202"/>
      <c r="K43" s="202"/>
      <c r="L43" s="202"/>
      <c r="M43" s="202"/>
      <c r="N43" s="202"/>
      <c r="O43" s="230"/>
      <c r="P43" s="230"/>
    </row>
    <row r="44" spans="1:16" ht="12.75">
      <c r="A44" s="230"/>
      <c r="B44" s="233"/>
      <c r="C44" s="234"/>
      <c r="D44" s="230"/>
      <c r="E44" s="202"/>
      <c r="F44" s="202"/>
      <c r="G44" s="209">
        <v>28</v>
      </c>
      <c r="H44" s="212">
        <f>data!M50</f>
        <v>360.17579700595377</v>
      </c>
      <c r="I44" s="211">
        <f t="shared" si="2"/>
        <v>182.3198872255299</v>
      </c>
      <c r="J44" s="202"/>
      <c r="K44" s="202"/>
      <c r="L44" s="202"/>
      <c r="M44" s="202"/>
      <c r="N44" s="202"/>
      <c r="O44" s="230"/>
      <c r="P44" s="230"/>
    </row>
    <row r="45" spans="1:16" ht="12.75">
      <c r="A45" s="230"/>
      <c r="B45" s="233"/>
      <c r="C45" s="234"/>
      <c r="D45" s="230"/>
      <c r="E45" s="202"/>
      <c r="F45" s="202"/>
      <c r="G45" s="209">
        <v>29</v>
      </c>
      <c r="H45" s="212">
        <f>data!M51</f>
        <v>364.6281649663787</v>
      </c>
      <c r="I45" s="211">
        <f t="shared" si="2"/>
        <v>184.7934249813215</v>
      </c>
      <c r="J45" s="202"/>
      <c r="K45" s="202"/>
      <c r="L45" s="202"/>
      <c r="M45" s="202"/>
      <c r="N45" s="202"/>
      <c r="O45" s="230"/>
      <c r="P45" s="230"/>
    </row>
    <row r="46" spans="1:16" ht="12.75">
      <c r="A46" s="230"/>
      <c r="B46" s="233"/>
      <c r="C46" s="234"/>
      <c r="D46" s="230"/>
      <c r="E46" s="202"/>
      <c r="F46" s="202"/>
      <c r="G46" s="209">
        <v>30</v>
      </c>
      <c r="H46" s="212">
        <f>data!M52</f>
        <v>369.0091022172392</v>
      </c>
      <c r="I46" s="211">
        <f t="shared" si="2"/>
        <v>187.22727900957733</v>
      </c>
      <c r="J46" s="202"/>
      <c r="K46" s="202"/>
      <c r="L46" s="202"/>
      <c r="M46" s="202"/>
      <c r="N46" s="202"/>
      <c r="O46" s="230"/>
      <c r="P46" s="230"/>
    </row>
    <row r="47" spans="1:16" ht="12.75">
      <c r="A47" s="230"/>
      <c r="B47" s="233"/>
      <c r="C47" s="234"/>
      <c r="D47" s="230"/>
      <c r="E47" s="202"/>
      <c r="F47" s="202"/>
      <c r="G47" s="209">
        <v>31</v>
      </c>
      <c r="H47" s="212">
        <f>data!M53</f>
        <v>372.58019877960896</v>
      </c>
      <c r="I47" s="211">
        <f t="shared" si="2"/>
        <v>189.21122154422721</v>
      </c>
      <c r="J47" s="202"/>
      <c r="K47" s="202"/>
      <c r="L47" s="202"/>
      <c r="M47" s="202"/>
      <c r="N47" s="202"/>
      <c r="O47" s="230"/>
      <c r="P47" s="230"/>
    </row>
    <row r="48" spans="1:14" ht="12.75">
      <c r="A48" s="230"/>
      <c r="B48" s="233"/>
      <c r="C48" s="234"/>
      <c r="D48" s="230"/>
      <c r="E48" s="202"/>
      <c r="F48" s="202"/>
      <c r="G48" s="209">
        <v>32</v>
      </c>
      <c r="H48" s="212">
        <f>data!M54</f>
        <v>374.467248620989</v>
      </c>
      <c r="I48" s="211">
        <f t="shared" si="2"/>
        <v>190.2595825672161</v>
      </c>
      <c r="J48" s="202"/>
      <c r="K48" s="202"/>
      <c r="L48" s="202"/>
      <c r="M48" s="202"/>
      <c r="N48" s="202"/>
    </row>
    <row r="49" spans="1:14" ht="12.75">
      <c r="A49" s="230"/>
      <c r="B49" s="233"/>
      <c r="C49" s="234"/>
      <c r="D49" s="230"/>
      <c r="E49" s="202"/>
      <c r="F49" s="202"/>
      <c r="G49" s="209">
        <v>33</v>
      </c>
      <c r="H49" s="212">
        <f>data!M55</f>
        <v>376.32977066839896</v>
      </c>
      <c r="I49" s="211">
        <f t="shared" si="2"/>
        <v>191.2943170379994</v>
      </c>
      <c r="J49" s="202"/>
      <c r="K49" s="202"/>
      <c r="L49" s="202"/>
      <c r="M49" s="202"/>
      <c r="N49" s="202"/>
    </row>
    <row r="50" spans="1:14" ht="12.75">
      <c r="A50" s="230"/>
      <c r="B50" s="233"/>
      <c r="C50" s="234"/>
      <c r="D50" s="230"/>
      <c r="E50" s="202"/>
      <c r="F50" s="202"/>
      <c r="G50" s="209">
        <v>34</v>
      </c>
      <c r="H50" s="212">
        <f>data!M56</f>
        <v>378.1697972936119</v>
      </c>
      <c r="I50" s="211">
        <f t="shared" si="2"/>
        <v>192.3165540520066</v>
      </c>
      <c r="J50" s="202"/>
      <c r="K50" s="202"/>
      <c r="L50" s="202"/>
      <c r="M50" s="202"/>
      <c r="N50" s="202"/>
    </row>
    <row r="51" spans="1:14" ht="12.75">
      <c r="A51" s="230"/>
      <c r="B51" s="233"/>
      <c r="C51" s="234"/>
      <c r="D51" s="230"/>
      <c r="E51" s="202"/>
      <c r="F51" s="202"/>
      <c r="G51" s="209">
        <v>35</v>
      </c>
      <c r="H51" s="212">
        <f>data!M57</f>
        <v>379.9892205278461</v>
      </c>
      <c r="I51" s="211">
        <f t="shared" si="2"/>
        <v>193.32734473769227</v>
      </c>
      <c r="J51" s="202"/>
      <c r="K51" s="202"/>
      <c r="L51" s="202"/>
      <c r="M51" s="202"/>
      <c r="N51" s="202"/>
    </row>
    <row r="52" spans="1:14" ht="12.75">
      <c r="A52" s="230"/>
      <c r="B52" s="233"/>
      <c r="C52" s="234"/>
      <c r="D52" s="230"/>
      <c r="E52" s="202"/>
      <c r="F52" s="202"/>
      <c r="G52" s="209">
        <v>36</v>
      </c>
      <c r="H52" s="212">
        <f>data!M58</f>
        <v>381.78980900854214</v>
      </c>
      <c r="I52" s="211">
        <f t="shared" si="2"/>
        <v>194.3276716714123</v>
      </c>
      <c r="J52" s="202"/>
      <c r="K52" s="202"/>
      <c r="L52" s="202"/>
      <c r="M52" s="202"/>
      <c r="N52" s="202"/>
    </row>
    <row r="53" spans="1:14" ht="12.75">
      <c r="A53" s="230"/>
      <c r="B53" s="233"/>
      <c r="C53" s="233"/>
      <c r="D53" s="230"/>
      <c r="E53" s="202"/>
      <c r="F53" s="202"/>
      <c r="G53" s="209">
        <v>37</v>
      </c>
      <c r="H53" s="212">
        <f>data!M59</f>
        <v>383.5732227820787</v>
      </c>
      <c r="I53" s="211">
        <f t="shared" si="2"/>
        <v>195.31845710115482</v>
      </c>
      <c r="J53" s="202"/>
      <c r="K53" s="202"/>
      <c r="L53" s="202"/>
      <c r="M53" s="202"/>
      <c r="N53" s="202"/>
    </row>
    <row r="54" spans="1:14" ht="12.75">
      <c r="A54" s="230"/>
      <c r="B54" s="233"/>
      <c r="C54" s="234"/>
      <c r="D54" s="230"/>
      <c r="E54" s="202"/>
      <c r="F54" s="202"/>
      <c r="G54" s="209">
        <v>38</v>
      </c>
      <c r="H54" s="212">
        <f>data!M60</f>
        <v>385.3410263096777</v>
      </c>
      <c r="I54" s="211">
        <f t="shared" si="2"/>
        <v>196.3005701720432</v>
      </c>
      <c r="J54" s="202"/>
      <c r="K54" s="202"/>
      <c r="L54" s="202"/>
      <c r="M54" s="202"/>
      <c r="N54" s="202"/>
    </row>
    <row r="55" spans="1:14" ht="12.75">
      <c r="A55" s="230"/>
      <c r="B55" s="233"/>
      <c r="C55" s="234"/>
      <c r="D55" s="230"/>
      <c r="E55" s="202"/>
      <c r="F55" s="202"/>
      <c r="G55" s="209">
        <v>39</v>
      </c>
      <c r="H55" s="212">
        <f>data!M61</f>
        <v>387.09469996276545</v>
      </c>
      <c r="I55" s="211">
        <f t="shared" si="2"/>
        <v>197.2748333126475</v>
      </c>
      <c r="J55" s="202"/>
      <c r="K55" s="202"/>
      <c r="L55" s="202"/>
      <c r="M55" s="202"/>
      <c r="N55" s="202"/>
    </row>
    <row r="56" spans="1:14" ht="12.75">
      <c r="A56" s="230"/>
      <c r="B56" s="233"/>
      <c r="C56" s="234"/>
      <c r="D56" s="230"/>
      <c r="E56" s="202"/>
      <c r="F56" s="202"/>
      <c r="G56" s="209">
        <v>40</v>
      </c>
      <c r="H56" s="212">
        <f>data!M62</f>
        <v>388.8356502454057</v>
      </c>
      <c r="I56" s="211">
        <f t="shared" si="2"/>
        <v>198.24202791411426</v>
      </c>
      <c r="J56" s="202"/>
      <c r="K56" s="202"/>
      <c r="L56" s="202"/>
      <c r="M56" s="202"/>
      <c r="N56" s="202"/>
    </row>
    <row r="57" spans="1:14" ht="12.75">
      <c r="A57" s="230"/>
      <c r="B57" s="233"/>
      <c r="C57" s="233"/>
      <c r="D57" s="230"/>
      <c r="E57" s="202"/>
      <c r="F57" s="202"/>
      <c r="G57" s="209">
        <v>41</v>
      </c>
      <c r="H57" s="212">
        <f>data!M63</f>
        <v>390.56521894240365</v>
      </c>
      <c r="I57" s="211">
        <f t="shared" si="2"/>
        <v>199.2028994124465</v>
      </c>
      <c r="J57" s="202"/>
      <c r="K57" s="202"/>
      <c r="L57" s="202"/>
      <c r="M57" s="202"/>
      <c r="N57" s="202"/>
    </row>
    <row r="58" spans="1:14" ht="12.75">
      <c r="A58" s="230"/>
      <c r="B58" s="233"/>
      <c r="C58" s="234"/>
      <c r="D58" s="230"/>
      <c r="E58" s="202"/>
      <c r="F58" s="202"/>
      <c r="G58" s="209">
        <v>42</v>
      </c>
      <c r="H58" s="212">
        <f>data!M64</f>
        <v>392.2846913602588</v>
      </c>
      <c r="I58" s="211">
        <f t="shared" si="2"/>
        <v>200.15816186681045</v>
      </c>
      <c r="J58" s="202"/>
      <c r="K58" s="202"/>
      <c r="L58" s="202"/>
      <c r="M58" s="202"/>
      <c r="N58" s="202"/>
    </row>
    <row r="59" spans="1:14" ht="12.75">
      <c r="A59" s="230"/>
      <c r="B59" s="233"/>
      <c r="C59" s="234"/>
      <c r="D59" s="230"/>
      <c r="E59" s="202"/>
      <c r="F59" s="202"/>
      <c r="G59" s="209">
        <v>43</v>
      </c>
      <c r="H59" s="212">
        <f>data!M65</f>
        <v>393.9953038027539</v>
      </c>
      <c r="I59" s="211">
        <f t="shared" si="2"/>
        <v>201.10850211264108</v>
      </c>
      <c r="J59" s="202"/>
      <c r="K59" s="202"/>
      <c r="L59" s="202"/>
      <c r="M59" s="202"/>
      <c r="N59" s="202"/>
    </row>
    <row r="60" spans="1:14" ht="12.75">
      <c r="A60" s="230"/>
      <c r="B60" s="233"/>
      <c r="C60" s="234"/>
      <c r="D60" s="230"/>
      <c r="E60" s="202"/>
      <c r="F60" s="202"/>
      <c r="G60" s="209">
        <v>44</v>
      </c>
      <c r="H60" s="212">
        <f>data!M66</f>
        <v>395.69825040240016</v>
      </c>
      <c r="I60" s="211">
        <f t="shared" si="2"/>
        <v>202.05458355688896</v>
      </c>
      <c r="J60" s="202"/>
      <c r="K60" s="202"/>
      <c r="L60" s="202"/>
      <c r="M60" s="202"/>
      <c r="N60" s="202"/>
    </row>
    <row r="61" spans="1:14" ht="12.75">
      <c r="A61" s="230"/>
      <c r="B61" s="233"/>
      <c r="C61" s="234"/>
      <c r="D61" s="230"/>
      <c r="E61" s="202"/>
      <c r="F61" s="202"/>
      <c r="G61" s="209">
        <v>45</v>
      </c>
      <c r="H61" s="212">
        <f>data!M67</f>
        <v>397.39468941229046</v>
      </c>
      <c r="I61" s="211">
        <f t="shared" si="2"/>
        <v>202.99704967349467</v>
      </c>
      <c r="J61" s="202"/>
      <c r="K61" s="202"/>
      <c r="L61" s="202"/>
      <c r="M61" s="202"/>
      <c r="N61" s="202"/>
    </row>
    <row r="62" spans="1:14" ht="12.75">
      <c r="A62" s="230"/>
      <c r="B62" s="233"/>
      <c r="C62" s="234"/>
      <c r="D62" s="230"/>
      <c r="E62" s="202"/>
      <c r="F62" s="202"/>
      <c r="G62" s="209">
        <v>46</v>
      </c>
      <c r="H62" s="212">
        <f>data!M68</f>
        <v>399.0857490494067</v>
      </c>
      <c r="I62" s="211">
        <f t="shared" si="2"/>
        <v>203.93652724967038</v>
      </c>
      <c r="J62" s="202"/>
      <c r="K62" s="202"/>
      <c r="L62" s="202"/>
      <c r="M62" s="202"/>
      <c r="N62" s="202"/>
    </row>
    <row r="63" spans="1:14" ht="12.75">
      <c r="A63" s="230"/>
      <c r="B63" s="233"/>
      <c r="C63" s="234"/>
      <c r="D63" s="230"/>
      <c r="E63" s="202"/>
      <c r="F63" s="202"/>
      <c r="G63" s="209">
        <v>47</v>
      </c>
      <c r="H63" s="212">
        <f>data!M69</f>
        <v>400.77253296953796</v>
      </c>
      <c r="I63" s="211">
        <f t="shared" si="2"/>
        <v>204.87362942752108</v>
      </c>
      <c r="J63" s="202"/>
      <c r="K63" s="202"/>
      <c r="L63" s="202"/>
      <c r="M63" s="202"/>
      <c r="N63" s="202"/>
    </row>
    <row r="64" spans="1:14" ht="12.75">
      <c r="A64" s="230"/>
      <c r="B64" s="233"/>
      <c r="C64" s="234"/>
      <c r="D64" s="230"/>
      <c r="E64" s="202"/>
      <c r="F64" s="202"/>
      <c r="G64" s="209">
        <v>48</v>
      </c>
      <c r="H64" s="212">
        <f>data!M70</f>
        <v>402.45612544523675</v>
      </c>
      <c r="I64" s="211">
        <f t="shared" si="2"/>
        <v>205.8089585806871</v>
      </c>
      <c r="J64" s="202"/>
      <c r="K64" s="202"/>
      <c r="L64" s="202"/>
      <c r="M64" s="202"/>
      <c r="N64" s="202"/>
    </row>
    <row r="65" spans="1:14" ht="12.75">
      <c r="A65" s="230"/>
      <c r="B65" s="233"/>
      <c r="C65" s="234"/>
      <c r="D65" s="230"/>
      <c r="E65" s="202"/>
      <c r="F65" s="202"/>
      <c r="G65" s="209">
        <v>49</v>
      </c>
      <c r="H65" s="212">
        <f>data!M71</f>
        <v>404.137596311342</v>
      </c>
      <c r="I65" s="211">
        <f t="shared" si="2"/>
        <v>206.74310906185667</v>
      </c>
      <c r="J65" s="202"/>
      <c r="K65" s="202"/>
      <c r="L65" s="202"/>
      <c r="M65" s="202"/>
      <c r="N65" s="202"/>
    </row>
    <row r="66" spans="1:14" ht="12.75">
      <c r="A66" s="230"/>
      <c r="B66" s="233"/>
      <c r="C66" s="234"/>
      <c r="D66" s="230"/>
      <c r="E66" s="202"/>
      <c r="F66" s="202"/>
      <c r="G66" s="209">
        <v>50</v>
      </c>
      <c r="H66" s="212">
        <f>data!M72</f>
        <v>405.81800581061793</v>
      </c>
      <c r="I66" s="211">
        <f t="shared" si="2"/>
        <v>207.67666989478778</v>
      </c>
      <c r="J66" s="202"/>
      <c r="K66" s="202"/>
      <c r="L66" s="202"/>
      <c r="M66" s="202"/>
      <c r="N66" s="202"/>
    </row>
    <row r="67" spans="1:14" ht="12.75">
      <c r="A67" s="230"/>
      <c r="B67" s="233"/>
      <c r="C67" s="234"/>
      <c r="D67" s="230"/>
      <c r="E67" s="202"/>
      <c r="F67" s="202"/>
      <c r="G67" s="209">
        <v>51</v>
      </c>
      <c r="H67" s="212">
        <f>data!M73</f>
        <v>407.49841523654186</v>
      </c>
      <c r="I67" s="211">
        <f t="shared" si="2"/>
        <v>208.6102306869677</v>
      </c>
      <c r="J67" s="202"/>
      <c r="K67" s="202"/>
      <c r="L67" s="202"/>
      <c r="M67" s="202"/>
      <c r="N67" s="202"/>
    </row>
    <row r="68" spans="1:14" ht="12.75">
      <c r="A68" s="230"/>
      <c r="B68" s="233"/>
      <c r="C68" s="234"/>
      <c r="D68" s="230"/>
      <c r="E68" s="202"/>
      <c r="F68" s="202"/>
      <c r="G68" s="209">
        <v>52</v>
      </c>
      <c r="H68" s="212">
        <f>data!M74</f>
        <v>409.1798861026472</v>
      </c>
      <c r="I68" s="211">
        <f t="shared" si="2"/>
        <v>209.54438116813733</v>
      </c>
      <c r="J68" s="202"/>
      <c r="K68" s="202"/>
      <c r="L68" s="202"/>
      <c r="M68" s="202"/>
      <c r="N68" s="202"/>
    </row>
    <row r="69" spans="1:14" ht="12.75">
      <c r="A69" s="230"/>
      <c r="B69" s="233"/>
      <c r="C69" s="234"/>
      <c r="D69" s="230"/>
      <c r="E69" s="202"/>
      <c r="F69" s="202"/>
      <c r="G69" s="209">
        <v>53</v>
      </c>
      <c r="H69" s="212">
        <f>data!M75</f>
        <v>410.863478578346</v>
      </c>
      <c r="I69" s="211">
        <f t="shared" si="2"/>
        <v>210.47971032130332</v>
      </c>
      <c r="J69" s="202"/>
      <c r="K69" s="202"/>
      <c r="L69" s="202"/>
      <c r="M69" s="202"/>
      <c r="N69" s="202"/>
    </row>
    <row r="70" spans="1:14" ht="12.75">
      <c r="A70" s="230"/>
      <c r="B70" s="233"/>
      <c r="C70" s="234"/>
      <c r="D70" s="230"/>
      <c r="E70" s="202"/>
      <c r="F70" s="202"/>
      <c r="G70" s="209">
        <v>54</v>
      </c>
      <c r="H70" s="212">
        <f>data!M76</f>
        <v>412.5502624984773</v>
      </c>
      <c r="I70" s="211">
        <f t="shared" si="2"/>
        <v>211.41681249915408</v>
      </c>
      <c r="J70" s="202"/>
      <c r="K70" s="202"/>
      <c r="L70" s="202"/>
      <c r="M70" s="202"/>
      <c r="N70" s="202"/>
    </row>
    <row r="71" spans="1:14" ht="12.75">
      <c r="A71" s="230"/>
      <c r="B71" s="233"/>
      <c r="C71" s="234"/>
      <c r="D71" s="230"/>
      <c r="E71" s="202"/>
      <c r="F71" s="202"/>
      <c r="G71" s="209">
        <v>55</v>
      </c>
      <c r="H71" s="212">
        <f>data!M77</f>
        <v>414.2413221355935</v>
      </c>
      <c r="I71" s="211">
        <f t="shared" si="2"/>
        <v>212.35629007532972</v>
      </c>
      <c r="J71" s="202"/>
      <c r="K71" s="202"/>
      <c r="L71" s="202"/>
      <c r="M71" s="202"/>
      <c r="N71" s="202"/>
    </row>
    <row r="72" spans="1:14" ht="12.75">
      <c r="A72" s="230"/>
      <c r="B72" s="233"/>
      <c r="C72" s="234"/>
      <c r="D72" s="230"/>
      <c r="E72" s="202"/>
      <c r="F72" s="202"/>
      <c r="G72" s="209">
        <v>56</v>
      </c>
      <c r="H72" s="212">
        <f>data!M78</f>
        <v>415.9377611454838</v>
      </c>
      <c r="I72" s="211">
        <f aca="true" t="shared" si="3" ref="I72:I103">(H72+40)*5/9-40</f>
        <v>213.29875619193547</v>
      </c>
      <c r="J72" s="202"/>
      <c r="K72" s="202"/>
      <c r="L72" s="202"/>
      <c r="M72" s="202"/>
      <c r="N72" s="202"/>
    </row>
    <row r="73" spans="1:14" ht="12.75">
      <c r="A73" s="230"/>
      <c r="B73" s="233"/>
      <c r="C73" s="234"/>
      <c r="D73" s="230"/>
      <c r="E73" s="202"/>
      <c r="F73" s="202"/>
      <c r="G73" s="209">
        <v>57</v>
      </c>
      <c r="H73" s="212">
        <f>data!M79</f>
        <v>417.6407077451301</v>
      </c>
      <c r="I73" s="211">
        <f t="shared" si="3"/>
        <v>214.2448376361834</v>
      </c>
      <c r="J73" s="202"/>
      <c r="K73" s="202"/>
      <c r="L73" s="202"/>
      <c r="M73" s="202"/>
      <c r="N73" s="202"/>
    </row>
    <row r="74" spans="1:14" ht="12.75">
      <c r="A74" s="230"/>
      <c r="B74" s="233"/>
      <c r="C74" s="234"/>
      <c r="D74" s="230"/>
      <c r="E74" s="202"/>
      <c r="F74" s="202"/>
      <c r="G74" s="209">
        <v>58</v>
      </c>
      <c r="H74" s="212">
        <f>data!M80</f>
        <v>419.35132018762516</v>
      </c>
      <c r="I74" s="211">
        <f t="shared" si="3"/>
        <v>215.19517788201398</v>
      </c>
      <c r="J74" s="202"/>
      <c r="K74" s="202"/>
      <c r="L74" s="202"/>
      <c r="M74" s="202"/>
      <c r="N74" s="202"/>
    </row>
    <row r="75" spans="1:14" ht="12.75">
      <c r="A75" s="230"/>
      <c r="B75" s="233"/>
      <c r="C75" s="234"/>
      <c r="D75" s="230"/>
      <c r="E75" s="202"/>
      <c r="F75" s="202"/>
      <c r="G75" s="209">
        <v>59</v>
      </c>
      <c r="H75" s="212">
        <f>data!M81</f>
        <v>421.07079260548034</v>
      </c>
      <c r="I75" s="211">
        <f t="shared" si="3"/>
        <v>216.15044033637798</v>
      </c>
      <c r="J75" s="202"/>
      <c r="K75" s="202"/>
      <c r="L75" s="202"/>
      <c r="M75" s="202"/>
      <c r="N75" s="202"/>
    </row>
    <row r="76" spans="1:14" ht="12.75">
      <c r="A76" s="230"/>
      <c r="B76" s="233"/>
      <c r="C76" s="234"/>
      <c r="D76" s="230"/>
      <c r="E76" s="202"/>
      <c r="F76" s="202"/>
      <c r="G76" s="209">
        <v>60</v>
      </c>
      <c r="H76" s="212">
        <f>data!M82</f>
        <v>422.8003613024783</v>
      </c>
      <c r="I76" s="211">
        <f t="shared" si="3"/>
        <v>217.11131183471014</v>
      </c>
      <c r="J76" s="202"/>
      <c r="K76" s="202"/>
      <c r="L76" s="202"/>
      <c r="M76" s="202"/>
      <c r="N76" s="202"/>
    </row>
    <row r="77" spans="1:14" ht="12.75">
      <c r="A77" s="230"/>
      <c r="B77" s="233"/>
      <c r="C77" s="234"/>
      <c r="D77" s="230"/>
      <c r="E77" s="202"/>
      <c r="F77" s="202"/>
      <c r="G77" s="209">
        <v>61</v>
      </c>
      <c r="H77" s="212">
        <f>data!M83</f>
        <v>424.5413115851185</v>
      </c>
      <c r="I77" s="211">
        <f t="shared" si="3"/>
        <v>218.0785064361769</v>
      </c>
      <c r="J77" s="202"/>
      <c r="K77" s="202"/>
      <c r="L77" s="202"/>
      <c r="M77" s="202"/>
      <c r="N77" s="202"/>
    </row>
    <row r="78" spans="1:14" ht="12.75">
      <c r="A78" s="230"/>
      <c r="B78" s="233"/>
      <c r="C78" s="234"/>
      <c r="D78" s="230"/>
      <c r="E78" s="202"/>
      <c r="F78" s="202"/>
      <c r="G78" s="209">
        <v>62</v>
      </c>
      <c r="H78" s="212">
        <f>data!M84</f>
        <v>426.29498523820627</v>
      </c>
      <c r="I78" s="211">
        <f t="shared" si="3"/>
        <v>219.05276957678126</v>
      </c>
      <c r="J78" s="202"/>
      <c r="K78" s="202"/>
      <c r="L78" s="202"/>
      <c r="M78" s="202"/>
      <c r="N78" s="202"/>
    </row>
    <row r="79" spans="1:14" ht="12.75">
      <c r="A79" s="230"/>
      <c r="B79" s="233"/>
      <c r="C79" s="234"/>
      <c r="D79" s="230"/>
      <c r="E79" s="202"/>
      <c r="F79" s="202"/>
      <c r="G79" s="209">
        <v>63</v>
      </c>
      <c r="H79" s="212">
        <f>data!M85</f>
        <v>428.0627887658053</v>
      </c>
      <c r="I79" s="211">
        <f t="shared" si="3"/>
        <v>220.03488264766958</v>
      </c>
      <c r="J79" s="202"/>
      <c r="K79" s="202"/>
      <c r="L79" s="202"/>
      <c r="M79" s="202"/>
      <c r="N79" s="202"/>
    </row>
    <row r="80" spans="1:14" ht="12.75">
      <c r="A80" s="230"/>
      <c r="B80" s="233"/>
      <c r="C80" s="234"/>
      <c r="D80" s="230"/>
      <c r="E80" s="202"/>
      <c r="F80" s="202"/>
      <c r="G80" s="209">
        <v>64</v>
      </c>
      <c r="H80" s="212">
        <f>data!M86</f>
        <v>429.84620253934185</v>
      </c>
      <c r="I80" s="211">
        <f t="shared" si="3"/>
        <v>221.0256680774121</v>
      </c>
      <c r="J80" s="202"/>
      <c r="K80" s="202"/>
      <c r="L80" s="202"/>
      <c r="M80" s="202"/>
      <c r="N80" s="202"/>
    </row>
    <row r="81" spans="1:14" ht="12.75">
      <c r="A81" s="230"/>
      <c r="B81" s="233"/>
      <c r="C81" s="234"/>
      <c r="D81" s="230"/>
      <c r="E81" s="202"/>
      <c r="F81" s="202"/>
      <c r="G81" s="209">
        <v>65</v>
      </c>
      <c r="H81" s="212">
        <f>data!M87</f>
        <v>431.6467910200379</v>
      </c>
      <c r="I81" s="211">
        <f t="shared" si="3"/>
        <v>222.02599501113218</v>
      </c>
      <c r="J81" s="202"/>
      <c r="K81" s="202"/>
      <c r="L81" s="202"/>
      <c r="M81" s="202"/>
      <c r="N81" s="202"/>
    </row>
    <row r="82" spans="1:14" ht="12.75">
      <c r="A82" s="230"/>
      <c r="B82" s="233"/>
      <c r="C82" s="234"/>
      <c r="D82" s="230"/>
      <c r="E82" s="202"/>
      <c r="F82" s="202"/>
      <c r="G82" s="209">
        <v>66</v>
      </c>
      <c r="H82" s="212">
        <f>data!M88</f>
        <v>433.4662142542721</v>
      </c>
      <c r="I82" s="211">
        <f t="shared" si="3"/>
        <v>223.03678569681784</v>
      </c>
      <c r="J82" s="202"/>
      <c r="K82" s="202"/>
      <c r="L82" s="202"/>
      <c r="M82" s="202"/>
      <c r="N82" s="202"/>
    </row>
    <row r="83" spans="1:14" ht="12.75">
      <c r="A83" s="230"/>
      <c r="B83" s="233"/>
      <c r="C83" s="234"/>
      <c r="D83" s="230"/>
      <c r="E83" s="202"/>
      <c r="F83" s="202"/>
      <c r="G83" s="209">
        <v>67</v>
      </c>
      <c r="H83" s="212">
        <f>data!M89</f>
        <v>435.306240879485</v>
      </c>
      <c r="I83" s="211">
        <f t="shared" si="3"/>
        <v>224.059022710825</v>
      </c>
      <c r="J83" s="202"/>
      <c r="K83" s="202"/>
      <c r="L83" s="202"/>
      <c r="M83" s="202"/>
      <c r="N83" s="202"/>
    </row>
    <row r="84" spans="1:14" ht="12.75">
      <c r="A84" s="230"/>
      <c r="B84" s="233"/>
      <c r="C84" s="234"/>
      <c r="D84" s="230"/>
      <c r="E84" s="202"/>
      <c r="F84" s="202"/>
      <c r="G84" s="209">
        <v>68</v>
      </c>
      <c r="H84" s="212">
        <f>data!M90</f>
        <v>437.168762926895</v>
      </c>
      <c r="I84" s="211">
        <f t="shared" si="3"/>
        <v>225.09375718160834</v>
      </c>
      <c r="J84" s="202"/>
      <c r="K84" s="202"/>
      <c r="L84" s="202"/>
      <c r="M84" s="202"/>
      <c r="N84" s="202"/>
    </row>
    <row r="85" spans="1:14" ht="12.75">
      <c r="A85" s="230"/>
      <c r="B85" s="233"/>
      <c r="C85" s="234"/>
      <c r="D85" s="230"/>
      <c r="E85" s="202"/>
      <c r="F85" s="202"/>
      <c r="G85" s="209">
        <v>69</v>
      </c>
      <c r="H85" s="212">
        <f>data!M91</f>
        <v>439.055812768275</v>
      </c>
      <c r="I85" s="211">
        <f t="shared" si="3"/>
        <v>226.14211820459724</v>
      </c>
      <c r="J85" s="202"/>
      <c r="K85" s="202"/>
      <c r="L85" s="202"/>
      <c r="M85" s="202"/>
      <c r="N85" s="202"/>
    </row>
    <row r="86" spans="1:14" ht="12.75">
      <c r="A86" s="230"/>
      <c r="B86" s="233"/>
      <c r="C86" s="234"/>
      <c r="D86" s="230"/>
      <c r="E86" s="202"/>
      <c r="F86" s="202"/>
      <c r="G86" s="209">
        <v>70</v>
      </c>
      <c r="H86" s="212">
        <f>data!M92</f>
        <v>440.96958263090596</v>
      </c>
      <c r="I86" s="211">
        <f t="shared" si="3"/>
        <v>227.2053236838367</v>
      </c>
      <c r="J86" s="202"/>
      <c r="K86" s="202"/>
      <c r="L86" s="202"/>
      <c r="M86" s="202"/>
      <c r="N86" s="202"/>
    </row>
    <row r="87" spans="1:14" ht="12.75">
      <c r="A87" s="230"/>
      <c r="B87" s="233"/>
      <c r="C87" s="234"/>
      <c r="D87" s="230"/>
      <c r="E87" s="202"/>
      <c r="F87" s="202"/>
      <c r="G87" s="209">
        <v>71</v>
      </c>
      <c r="H87" s="212">
        <f>data!M93</f>
        <v>442.9124472023367</v>
      </c>
      <c r="I87" s="211">
        <f t="shared" si="3"/>
        <v>228.28469289018705</v>
      </c>
      <c r="J87" s="202"/>
      <c r="K87" s="202"/>
      <c r="L87" s="202"/>
      <c r="M87" s="202"/>
      <c r="N87" s="202"/>
    </row>
    <row r="88" spans="1:14" ht="12.75">
      <c r="A88" s="230"/>
      <c r="B88" s="233"/>
      <c r="C88" s="234"/>
      <c r="D88" s="230"/>
      <c r="E88" s="202"/>
      <c r="F88" s="202"/>
      <c r="G88" s="209">
        <v>72</v>
      </c>
      <c r="H88" s="212">
        <f>data!M94</f>
        <v>444.88698997114335</v>
      </c>
      <c r="I88" s="211">
        <f t="shared" si="3"/>
        <v>229.3816610950796</v>
      </c>
      <c r="J88" s="202"/>
      <c r="K88" s="202"/>
      <c r="L88" s="202"/>
      <c r="M88" s="202"/>
      <c r="N88" s="202"/>
    </row>
    <row r="89" spans="1:14" ht="12.75">
      <c r="A89" s="230"/>
      <c r="B89" s="233"/>
      <c r="C89" s="234"/>
      <c r="D89" s="230"/>
      <c r="E89" s="202"/>
      <c r="F89" s="202"/>
      <c r="G89" s="209">
        <v>73</v>
      </c>
      <c r="H89" s="212">
        <f>data!M95</f>
        <v>446.89603411021045</v>
      </c>
      <c r="I89" s="211">
        <f t="shared" si="3"/>
        <v>230.4977967278947</v>
      </c>
      <c r="J89" s="202"/>
      <c r="K89" s="202"/>
      <c r="L89" s="202"/>
      <c r="M89" s="202"/>
      <c r="N89" s="202"/>
    </row>
    <row r="90" spans="1:14" ht="12.75">
      <c r="A90" s="230"/>
      <c r="B90" s="233"/>
      <c r="C90" s="234"/>
      <c r="D90" s="230"/>
      <c r="E90" s="202"/>
      <c r="F90" s="202"/>
      <c r="G90" s="209">
        <v>74</v>
      </c>
      <c r="H90" s="212">
        <f>data!M96</f>
        <v>448.9426789170931</v>
      </c>
      <c r="I90" s="211">
        <f t="shared" si="3"/>
        <v>231.63482162060723</v>
      </c>
      <c r="J90" s="202"/>
      <c r="K90" s="202"/>
      <c r="L90" s="202"/>
      <c r="M90" s="202"/>
      <c r="N90" s="202"/>
    </row>
    <row r="91" spans="1:14" ht="12.75">
      <c r="A91" s="230"/>
      <c r="B91" s="233"/>
      <c r="C91" s="234"/>
      <c r="D91" s="230"/>
      <c r="E91" s="202"/>
      <c r="F91" s="202"/>
      <c r="G91" s="209">
        <v>75</v>
      </c>
      <c r="H91" s="212">
        <f>data!M97</f>
        <v>451.03034309837506</v>
      </c>
      <c r="I91" s="211">
        <f t="shared" si="3"/>
        <v>232.79463505465282</v>
      </c>
      <c r="J91" s="202"/>
      <c r="K91" s="202"/>
      <c r="L91" s="202"/>
      <c r="M91" s="202"/>
      <c r="N91" s="202"/>
    </row>
    <row r="92" spans="1:14" ht="12.75">
      <c r="A92" s="230"/>
      <c r="B92" s="233"/>
      <c r="C92" s="234"/>
      <c r="D92" s="230"/>
      <c r="E92" s="202"/>
      <c r="F92" s="202"/>
      <c r="G92" s="209">
        <v>76</v>
      </c>
      <c r="H92" s="212">
        <f>data!M98</f>
        <v>453.1628165448623</v>
      </c>
      <c r="I92" s="211">
        <f t="shared" si="3"/>
        <v>233.97934252492348</v>
      </c>
      <c r="J92" s="202"/>
      <c r="K92" s="202"/>
      <c r="L92" s="202"/>
      <c r="M92" s="202"/>
      <c r="N92" s="202"/>
    </row>
    <row r="93" spans="1:14" ht="12.75">
      <c r="A93" s="230"/>
      <c r="B93" s="233"/>
      <c r="C93" s="234"/>
      <c r="D93" s="230"/>
      <c r="E93" s="202"/>
      <c r="F93" s="202"/>
      <c r="G93" s="209">
        <v>77</v>
      </c>
      <c r="H93" s="212">
        <f>data!M99</f>
        <v>455.34432272501994</v>
      </c>
      <c r="I93" s="211">
        <f t="shared" si="3"/>
        <v>235.1912904027888</v>
      </c>
      <c r="J93" s="202"/>
      <c r="K93" s="202"/>
      <c r="L93" s="202"/>
      <c r="M93" s="202"/>
      <c r="N93" s="202"/>
    </row>
    <row r="94" spans="1:14" ht="12.75">
      <c r="A94" s="230"/>
      <c r="B94" s="233"/>
      <c r="C94" s="234"/>
      <c r="D94" s="230"/>
      <c r="E94" s="202"/>
      <c r="F94" s="202"/>
      <c r="G94" s="209">
        <v>78</v>
      </c>
      <c r="H94" s="212">
        <f>data!M100</f>
        <v>457.57959447283656</v>
      </c>
      <c r="I94" s="211">
        <f t="shared" si="3"/>
        <v>236.43310804046473</v>
      </c>
      <c r="J94" s="202"/>
      <c r="K94" s="202"/>
      <c r="L94" s="202"/>
      <c r="M94" s="202"/>
      <c r="N94" s="202"/>
    </row>
    <row r="95" spans="1:14" ht="12.75">
      <c r="A95" s="230"/>
      <c r="B95" s="233"/>
      <c r="C95" s="234"/>
      <c r="D95" s="230"/>
      <c r="E95" s="202"/>
      <c r="F95" s="202"/>
      <c r="G95" s="209">
        <v>79</v>
      </c>
      <c r="H95" s="212">
        <f>data!M101</f>
        <v>459.8739668327044</v>
      </c>
      <c r="I95" s="211">
        <f t="shared" si="3"/>
        <v>237.7077593515025</v>
      </c>
      <c r="J95" s="202"/>
      <c r="K95" s="202"/>
      <c r="L95" s="202"/>
      <c r="M95" s="202"/>
      <c r="N95" s="202"/>
    </row>
    <row r="96" spans="1:14" ht="12.75">
      <c r="A96" s="230"/>
      <c r="B96" s="233"/>
      <c r="C96" s="234"/>
      <c r="D96" s="230"/>
      <c r="E96" s="202"/>
      <c r="F96" s="202"/>
      <c r="G96" s="209">
        <v>80</v>
      </c>
      <c r="H96" s="212">
        <f>data!M102</f>
        <v>462.23349185082225</v>
      </c>
      <c r="I96" s="211">
        <f t="shared" si="3"/>
        <v>239.01860658379013</v>
      </c>
      <c r="J96" s="202"/>
      <c r="K96" s="202"/>
      <c r="L96" s="202"/>
      <c r="M96" s="202"/>
      <c r="N96" s="202"/>
    </row>
    <row r="97" spans="1:14" ht="12.75">
      <c r="A97" s="230"/>
      <c r="B97" s="233"/>
      <c r="C97" s="234"/>
      <c r="D97" s="230"/>
      <c r="E97" s="202"/>
      <c r="F97" s="202"/>
      <c r="G97" s="209">
        <v>81</v>
      </c>
      <c r="H97" s="212">
        <f>data!M103</f>
        <v>464.66508192506166</v>
      </c>
      <c r="I97" s="211">
        <f t="shared" si="3"/>
        <v>240.36948995836758</v>
      </c>
      <c r="J97" s="202"/>
      <c r="K97" s="202"/>
      <c r="L97" s="202"/>
      <c r="M97" s="202"/>
      <c r="N97" s="202"/>
    </row>
    <row r="98" spans="1:14" ht="12.75">
      <c r="A98" s="230"/>
      <c r="B98" s="233"/>
      <c r="C98" s="234"/>
      <c r="D98" s="230"/>
      <c r="E98" s="202"/>
      <c r="F98" s="202"/>
      <c r="G98" s="209">
        <v>82</v>
      </c>
      <c r="H98" s="212">
        <f>data!M104</f>
        <v>467.17669078098345</v>
      </c>
      <c r="I98" s="211">
        <f t="shared" si="3"/>
        <v>241.76482821165746</v>
      </c>
      <c r="J98" s="202"/>
      <c r="K98" s="202"/>
      <c r="L98" s="202"/>
      <c r="M98" s="202"/>
      <c r="N98" s="202"/>
    </row>
    <row r="99" spans="1:14" ht="12.75">
      <c r="A99" s="230"/>
      <c r="B99" s="233"/>
      <c r="C99" s="234"/>
      <c r="D99" s="230"/>
      <c r="E99" s="202"/>
      <c r="F99" s="202"/>
      <c r="G99" s="209">
        <v>83</v>
      </c>
      <c r="H99" s="212">
        <f>data!M105</f>
        <v>469.77754470285134</v>
      </c>
      <c r="I99" s="211">
        <f t="shared" si="3"/>
        <v>243.20974705713962</v>
      </c>
      <c r="J99" s="202"/>
      <c r="K99" s="202"/>
      <c r="L99" s="202"/>
      <c r="M99" s="202"/>
      <c r="N99" s="202"/>
    </row>
    <row r="100" spans="1:14" ht="12.75">
      <c r="A100" s="230"/>
      <c r="B100" s="233"/>
      <c r="C100" s="234"/>
      <c r="D100" s="230"/>
      <c r="E100" s="202"/>
      <c r="F100" s="202"/>
      <c r="G100" s="209">
        <v>84</v>
      </c>
      <c r="H100" s="212">
        <f>data!M106</f>
        <v>472.4784419100687</v>
      </c>
      <c r="I100" s="211">
        <f t="shared" si="3"/>
        <v>244.71024550559372</v>
      </c>
      <c r="J100" s="202"/>
      <c r="K100" s="202"/>
      <c r="L100" s="202"/>
      <c r="M100" s="202"/>
      <c r="N100" s="202"/>
    </row>
    <row r="101" spans="1:14" ht="12.75">
      <c r="A101" s="230"/>
      <c r="B101" s="233"/>
      <c r="C101" s="234"/>
      <c r="D101" s="230"/>
      <c r="E101" s="202"/>
      <c r="F101" s="202"/>
      <c r="G101" s="209">
        <v>85</v>
      </c>
      <c r="H101" s="212">
        <f>data!M107</f>
        <v>475.29214590605267</v>
      </c>
      <c r="I101" s="211">
        <f t="shared" si="3"/>
        <v>246.27341439225142</v>
      </c>
      <c r="J101" s="202"/>
      <c r="K101" s="202"/>
      <c r="L101" s="202"/>
      <c r="M101" s="202"/>
      <c r="N101" s="202"/>
    </row>
    <row r="102" spans="1:14" ht="12.75">
      <c r="A102" s="230"/>
      <c r="B102" s="233"/>
      <c r="C102" s="234"/>
      <c r="D102" s="230"/>
      <c r="E102" s="202"/>
      <c r="F102" s="202"/>
      <c r="G102" s="209">
        <v>86</v>
      </c>
      <c r="H102" s="212">
        <f>data!M108</f>
        <v>478.2339108774656</v>
      </c>
      <c r="I102" s="211">
        <f t="shared" si="3"/>
        <v>247.9077282652587</v>
      </c>
      <c r="J102" s="202"/>
      <c r="K102" s="202"/>
      <c r="L102" s="202"/>
      <c r="M102" s="202"/>
      <c r="N102" s="202"/>
    </row>
    <row r="103" spans="1:14" ht="12.75">
      <c r="A103" s="230"/>
      <c r="B103" s="233"/>
      <c r="C103" s="234"/>
      <c r="D103" s="230"/>
      <c r="E103" s="202"/>
      <c r="F103" s="202"/>
      <c r="G103" s="209">
        <v>87</v>
      </c>
      <c r="H103" s="212">
        <f>data!M109</f>
        <v>481.32219662766755</v>
      </c>
      <c r="I103" s="211">
        <f t="shared" si="3"/>
        <v>249.6234425709265</v>
      </c>
      <c r="J103" s="202"/>
      <c r="K103" s="202"/>
      <c r="L103" s="202"/>
      <c r="M103" s="202"/>
      <c r="N103" s="202"/>
    </row>
    <row r="104" spans="1:14" ht="12.75">
      <c r="A104" s="230"/>
      <c r="B104" s="233"/>
      <c r="C104" s="234"/>
      <c r="D104" s="230"/>
      <c r="E104" s="202"/>
      <c r="F104" s="202"/>
      <c r="G104" s="209">
        <v>88</v>
      </c>
      <c r="H104" s="212">
        <f>data!M110</f>
        <v>484.57966217926963</v>
      </c>
      <c r="I104" s="211">
        <f aca="true" t="shared" si="4" ref="I104:I124">(H104+40)*5/9-40</f>
        <v>251.43314565514981</v>
      </c>
      <c r="J104" s="202"/>
      <c r="K104" s="202"/>
      <c r="L104" s="202"/>
      <c r="M104" s="202"/>
      <c r="N104" s="202"/>
    </row>
    <row r="105" spans="1:14" ht="12.75">
      <c r="A105" s="230"/>
      <c r="B105" s="233"/>
      <c r="C105" s="234"/>
      <c r="D105" s="230"/>
      <c r="E105" s="202"/>
      <c r="F105" s="202"/>
      <c r="G105" s="209">
        <v>89</v>
      </c>
      <c r="H105" s="212">
        <f>data!M111</f>
        <v>488.034580549878</v>
      </c>
      <c r="I105" s="211">
        <f t="shared" si="4"/>
        <v>253.35254474993224</v>
      </c>
      <c r="J105" s="202"/>
      <c r="K105" s="202"/>
      <c r="L105" s="202"/>
      <c r="M105" s="202"/>
      <c r="N105" s="202"/>
    </row>
    <row r="106" spans="1:14" ht="12.75">
      <c r="A106" s="230"/>
      <c r="B106" s="233"/>
      <c r="C106" s="234"/>
      <c r="D106" s="230"/>
      <c r="E106" s="202"/>
      <c r="F106" s="202"/>
      <c r="G106" s="209">
        <v>90</v>
      </c>
      <c r="H106" s="212">
        <f>data!M112</f>
        <v>491.72291070588795</v>
      </c>
      <c r="I106" s="211">
        <f t="shared" si="4"/>
        <v>255.40161705882662</v>
      </c>
      <c r="J106" s="202"/>
      <c r="K106" s="202"/>
      <c r="L106" s="202"/>
      <c r="M106" s="202"/>
      <c r="N106" s="202"/>
    </row>
    <row r="107" spans="1:14" ht="12.75">
      <c r="A107" s="230"/>
      <c r="B107" s="230"/>
      <c r="C107" s="230"/>
      <c r="D107" s="230"/>
      <c r="E107" s="202"/>
      <c r="F107" s="202"/>
      <c r="G107" s="209">
        <v>91</v>
      </c>
      <c r="H107" s="212">
        <f>data!M113</f>
        <v>495.6914339678945</v>
      </c>
      <c r="I107" s="211">
        <f t="shared" si="4"/>
        <v>257.60635220438576</v>
      </c>
      <c r="J107" s="202"/>
      <c r="K107" s="202"/>
      <c r="L107" s="202"/>
      <c r="M107" s="202"/>
      <c r="N107" s="202"/>
    </row>
    <row r="108" spans="1:14" ht="12.75">
      <c r="A108" s="230"/>
      <c r="B108" s="230"/>
      <c r="C108" s="230"/>
      <c r="D108" s="230"/>
      <c r="E108" s="202"/>
      <c r="F108" s="202"/>
      <c r="G108" s="209">
        <v>92</v>
      </c>
      <c r="H108" s="212">
        <f>data!M114</f>
        <v>500.00269277831</v>
      </c>
      <c r="I108" s="211">
        <f t="shared" si="4"/>
        <v>260.00149598795</v>
      </c>
      <c r="J108" s="202"/>
      <c r="K108" s="202"/>
      <c r="L108" s="202"/>
      <c r="M108" s="202"/>
      <c r="N108" s="202"/>
    </row>
    <row r="109" spans="1:14" ht="12.75">
      <c r="A109" s="230"/>
      <c r="B109" s="230"/>
      <c r="C109" s="230"/>
      <c r="D109" s="230"/>
      <c r="E109" s="202"/>
      <c r="F109" s="202"/>
      <c r="G109" s="209">
        <v>93</v>
      </c>
      <c r="H109" s="212">
        <f>data!M115</f>
        <v>504.7431495460036</v>
      </c>
      <c r="I109" s="211">
        <f t="shared" si="4"/>
        <v>262.6350830811132</v>
      </c>
      <c r="J109" s="202"/>
      <c r="K109" s="202"/>
      <c r="L109" s="202"/>
      <c r="M109" s="202"/>
      <c r="N109" s="202"/>
    </row>
    <row r="110" spans="5:14" ht="12.75">
      <c r="E110" s="202"/>
      <c r="F110" s="202"/>
      <c r="G110" s="209">
        <v>94</v>
      </c>
      <c r="H110" s="212">
        <f>data!M116</f>
        <v>510.03749309410665</v>
      </c>
      <c r="I110" s="211">
        <f t="shared" si="4"/>
        <v>265.57638505228147</v>
      </c>
      <c r="J110" s="202"/>
      <c r="K110" s="202"/>
      <c r="L110" s="202"/>
      <c r="M110" s="202"/>
      <c r="N110" s="202"/>
    </row>
    <row r="111" spans="5:14" ht="12.75">
      <c r="E111" s="202"/>
      <c r="F111" s="202"/>
      <c r="G111" s="209">
        <v>95</v>
      </c>
      <c r="H111" s="212">
        <f>data!M117</f>
        <v>516.0757152878247</v>
      </c>
      <c r="I111" s="211">
        <f t="shared" si="4"/>
        <v>268.93095293768033</v>
      </c>
      <c r="J111" s="202"/>
      <c r="K111" s="202"/>
      <c r="L111" s="202"/>
      <c r="M111" s="202"/>
      <c r="N111" s="202"/>
    </row>
    <row r="112" spans="5:14" ht="12.75">
      <c r="E112" s="202"/>
      <c r="F112" s="202"/>
      <c r="G112" s="209">
        <v>96</v>
      </c>
      <c r="H112" s="212">
        <f>data!M118</f>
        <v>523.1698450422655</v>
      </c>
      <c r="I112" s="211">
        <f t="shared" si="4"/>
        <v>272.8721361345919</v>
      </c>
      <c r="J112" s="202"/>
      <c r="K112" s="202"/>
      <c r="L112" s="202"/>
      <c r="M112" s="202"/>
      <c r="N112" s="202"/>
    </row>
    <row r="113" spans="5:14" ht="12.75">
      <c r="E113" s="202"/>
      <c r="F113" s="202"/>
      <c r="G113" s="209">
        <v>97</v>
      </c>
      <c r="H113" s="212">
        <f>data!M119</f>
        <v>531.8911744427296</v>
      </c>
      <c r="I113" s="211">
        <f t="shared" si="4"/>
        <v>277.7173191348498</v>
      </c>
      <c r="J113" s="202"/>
      <c r="K113" s="202"/>
      <c r="L113" s="202"/>
      <c r="M113" s="202"/>
      <c r="N113" s="202"/>
    </row>
    <row r="114" spans="5:14" ht="12.75">
      <c r="E114" s="202"/>
      <c r="F114" s="202"/>
      <c r="G114" s="209">
        <v>98</v>
      </c>
      <c r="H114" s="212">
        <f>data!M120</f>
        <v>543.4846737834599</v>
      </c>
      <c r="I114" s="211">
        <f t="shared" si="4"/>
        <v>284.1581521019222</v>
      </c>
      <c r="J114" s="202"/>
      <c r="K114" s="202"/>
      <c r="L114" s="202"/>
      <c r="M114" s="202"/>
      <c r="N114" s="202"/>
    </row>
    <row r="115" spans="5:14" ht="12.75">
      <c r="E115" s="202"/>
      <c r="F115" s="202"/>
      <c r="G115" s="209">
        <v>99</v>
      </c>
      <c r="H115" s="212">
        <f>data!M121</f>
        <v>561.7575441833226</v>
      </c>
      <c r="I115" s="211">
        <f t="shared" si="4"/>
        <v>294.3097467685125</v>
      </c>
      <c r="J115" s="202"/>
      <c r="K115" s="202"/>
      <c r="L115" s="202"/>
      <c r="M115" s="202"/>
      <c r="N115" s="202"/>
    </row>
    <row r="116" spans="5:14" ht="12.75">
      <c r="E116" s="202"/>
      <c r="F116" s="202"/>
      <c r="G116" s="209">
        <v>99.1</v>
      </c>
      <c r="H116" s="212">
        <f>data!M122</f>
        <v>564.3899233055392</v>
      </c>
      <c r="I116" s="211">
        <f t="shared" si="4"/>
        <v>295.7721796141884</v>
      </c>
      <c r="J116" s="202"/>
      <c r="K116" s="202"/>
      <c r="L116" s="202"/>
      <c r="M116" s="202"/>
      <c r="N116" s="202"/>
    </row>
    <row r="117" spans="5:14" ht="12.75">
      <c r="E117" s="202"/>
      <c r="F117" s="202"/>
      <c r="G117" s="209">
        <v>99.2</v>
      </c>
      <c r="H117" s="212">
        <f>data!M123</f>
        <v>567.2922579516072</v>
      </c>
      <c r="I117" s="211">
        <f t="shared" si="4"/>
        <v>297.3845877508929</v>
      </c>
      <c r="J117" s="202"/>
      <c r="K117" s="202"/>
      <c r="L117" s="202"/>
      <c r="M117" s="202"/>
      <c r="N117" s="202"/>
    </row>
    <row r="118" spans="5:14" ht="12.75">
      <c r="E118" s="202"/>
      <c r="F118" s="202"/>
      <c r="G118" s="209">
        <v>99.3</v>
      </c>
      <c r="H118" s="212">
        <f>data!M124</f>
        <v>570.5331418974042</v>
      </c>
      <c r="I118" s="211">
        <f t="shared" si="4"/>
        <v>299.18507883189125</v>
      </c>
      <c r="J118" s="202"/>
      <c r="K118" s="202"/>
      <c r="L118" s="202"/>
      <c r="M118" s="202"/>
      <c r="N118" s="202"/>
    </row>
    <row r="119" spans="5:14" ht="12.75">
      <c r="E119" s="202"/>
      <c r="F119" s="202"/>
      <c r="G119" s="209">
        <v>99.4</v>
      </c>
      <c r="H119" s="212">
        <f>data!M125</f>
        <v>574.2119655298707</v>
      </c>
      <c r="I119" s="211">
        <f t="shared" si="4"/>
        <v>301.228869738817</v>
      </c>
      <c r="J119" s="202"/>
      <c r="K119" s="202"/>
      <c r="L119" s="202"/>
      <c r="M119" s="202"/>
      <c r="N119" s="202"/>
    </row>
    <row r="120" spans="5:14" ht="12.75">
      <c r="E120" s="202"/>
      <c r="F120" s="202"/>
      <c r="G120" s="209">
        <v>99.5</v>
      </c>
      <c r="H120" s="212">
        <f>data!M126</f>
        <v>578.4809618343054</v>
      </c>
      <c r="I120" s="211">
        <f t="shared" si="4"/>
        <v>303.60053435239183</v>
      </c>
      <c r="J120" s="202"/>
      <c r="K120" s="202"/>
      <c r="L120" s="202"/>
      <c r="M120" s="202"/>
      <c r="N120" s="202"/>
    </row>
    <row r="121" spans="5:14" ht="12.75">
      <c r="E121" s="202"/>
      <c r="F121" s="202"/>
      <c r="G121" s="209">
        <v>99.6</v>
      </c>
      <c r="H121" s="212">
        <f>data!M127</f>
        <v>583.591613555481</v>
      </c>
      <c r="I121" s="211">
        <f t="shared" si="4"/>
        <v>306.4397853086005</v>
      </c>
      <c r="J121" s="202"/>
      <c r="K121" s="202"/>
      <c r="L121" s="202"/>
      <c r="M121" s="202"/>
      <c r="N121" s="202"/>
    </row>
    <row r="122" spans="5:14" ht="12.75">
      <c r="E122" s="202"/>
      <c r="F122" s="202"/>
      <c r="G122" s="209">
        <v>99.7</v>
      </c>
      <c r="H122" s="212">
        <f>data!M128</f>
        <v>590.0075098199213</v>
      </c>
      <c r="I122" s="211">
        <f t="shared" si="4"/>
        <v>310.0041721221785</v>
      </c>
      <c r="J122" s="202"/>
      <c r="K122" s="202"/>
      <c r="L122" s="202"/>
      <c r="M122" s="202"/>
      <c r="N122" s="202"/>
    </row>
    <row r="123" spans="5:14" ht="12.75">
      <c r="E123" s="202"/>
      <c r="F123" s="202"/>
      <c r="G123" s="209">
        <v>99.8000000000001</v>
      </c>
      <c r="H123" s="212">
        <f>data!M129</f>
        <v>598.7474488935316</v>
      </c>
      <c r="I123" s="211">
        <f t="shared" si="4"/>
        <v>314.85969382973974</v>
      </c>
      <c r="J123" s="202"/>
      <c r="K123" s="202"/>
      <c r="L123" s="202"/>
      <c r="M123" s="202"/>
      <c r="N123" s="202"/>
    </row>
    <row r="124" spans="5:14" ht="12.75">
      <c r="E124" s="202"/>
      <c r="F124" s="202"/>
      <c r="G124" s="209">
        <v>99.9000000000001</v>
      </c>
      <c r="H124" s="212">
        <f>data!M130</f>
        <v>612.9636127085147</v>
      </c>
      <c r="I124" s="211">
        <f t="shared" si="4"/>
        <v>322.7575626158415</v>
      </c>
      <c r="J124" s="202"/>
      <c r="K124" s="202"/>
      <c r="L124" s="202"/>
      <c r="M124" s="202"/>
      <c r="N124" s="202"/>
    </row>
    <row r="125" spans="5:14" ht="12.75">
      <c r="E125" s="202"/>
      <c r="F125" s="202"/>
      <c r="G125" s="202"/>
      <c r="H125" s="202"/>
      <c r="I125" s="202"/>
      <c r="J125" s="202"/>
      <c r="K125" s="202"/>
      <c r="L125" s="202"/>
      <c r="M125" s="202"/>
      <c r="N125" s="202"/>
    </row>
    <row r="126" spans="5:14" ht="12.75">
      <c r="E126" s="202"/>
      <c r="F126" s="202"/>
      <c r="G126" s="202"/>
      <c r="H126" s="202"/>
      <c r="I126" s="202"/>
      <c r="J126" s="202"/>
      <c r="K126" s="202"/>
      <c r="L126" s="202"/>
      <c r="M126" s="202"/>
      <c r="N126" s="202"/>
    </row>
    <row r="127" spans="5:14" ht="12.75">
      <c r="E127" s="202"/>
      <c r="F127" s="202"/>
      <c r="G127" s="202"/>
      <c r="H127" s="202"/>
      <c r="I127" s="202"/>
      <c r="J127" s="202"/>
      <c r="K127" s="202"/>
      <c r="L127" s="202"/>
      <c r="M127" s="202"/>
      <c r="N127" s="202"/>
    </row>
  </sheetData>
  <mergeCells count="1">
    <mergeCell ref="S22:T25"/>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5"/>
  <dimension ref="C3:R132"/>
  <sheetViews>
    <sheetView workbookViewId="0" topLeftCell="C13">
      <selection activeCell="N13" sqref="N13:O132"/>
    </sheetView>
  </sheetViews>
  <sheetFormatPr defaultColWidth="9.140625" defaultRowHeight="12.75"/>
  <cols>
    <col min="1" max="2" width="8.8515625" style="199" customWidth="1"/>
    <col min="3" max="3" width="12.57421875" style="199" customWidth="1"/>
    <col min="4" max="4" width="10.57421875" style="199" bestFit="1" customWidth="1"/>
    <col min="5" max="5" width="8.8515625" style="199" customWidth="1"/>
    <col min="6" max="6" width="12.28125" style="199" customWidth="1"/>
    <col min="7" max="16384" width="8.8515625" style="199" customWidth="1"/>
  </cols>
  <sheetData>
    <row r="3" spans="9:17" ht="12.75">
      <c r="I3" s="236" t="s">
        <v>350</v>
      </c>
      <c r="J3" s="237"/>
      <c r="K3" s="237"/>
      <c r="Q3" s="199">
        <f>MIN($J$9)</f>
        <v>27.804460773578334</v>
      </c>
    </row>
    <row r="4" spans="7:17" ht="12.75">
      <c r="G4" s="199" t="s">
        <v>366</v>
      </c>
      <c r="I4" s="237"/>
      <c r="J4" s="237" t="s">
        <v>351</v>
      </c>
      <c r="K4" s="237" t="s">
        <v>352</v>
      </c>
      <c r="Q4" s="199">
        <f>COUNT($J$6:$K$7)</f>
        <v>4</v>
      </c>
    </row>
    <row r="5" spans="3:17" ht="12.75">
      <c r="C5" s="199" t="s">
        <v>344</v>
      </c>
      <c r="E5" s="201" t="s">
        <v>71</v>
      </c>
      <c r="F5" s="238">
        <f>'Input-output'!Q22</f>
        <v>6.83201374470637E-05</v>
      </c>
      <c r="G5" s="238">
        <v>6.83201374470637E-05</v>
      </c>
      <c r="I5" s="237"/>
      <c r="J5" s="239">
        <v>0.3</v>
      </c>
      <c r="K5" s="239">
        <v>0.7</v>
      </c>
      <c r="Q5" s="199" t="b">
        <f>$I$19=0</f>
        <v>0</v>
      </c>
    </row>
    <row r="6" spans="5:17" ht="12.75">
      <c r="E6" s="201" t="s">
        <v>72</v>
      </c>
      <c r="F6" s="238">
        <f>'Input-output'!Q23</f>
        <v>-0.006200018475776507</v>
      </c>
      <c r="G6" s="201">
        <v>-0.006200018475776507</v>
      </c>
      <c r="I6" s="239">
        <v>0.5</v>
      </c>
      <c r="J6" s="240">
        <v>448.2718849884348</v>
      </c>
      <c r="K6" s="241">
        <v>405.818005773942</v>
      </c>
      <c r="M6" s="240"/>
      <c r="N6" s="241"/>
      <c r="O6" s="240"/>
      <c r="P6" s="241"/>
      <c r="Q6" s="199">
        <f>{100,100,0.001,0.05,FALSE,FALSE,FALSE,1,1,1,0.0001,FALSE}</f>
        <v>100</v>
      </c>
    </row>
    <row r="7" spans="5:16" ht="12.75">
      <c r="E7" s="201" t="s">
        <v>73</v>
      </c>
      <c r="F7" s="238">
        <f>'Input-output'!Q24</f>
        <v>0.7277999997780462</v>
      </c>
      <c r="G7" s="201">
        <v>0.7277999997780462</v>
      </c>
      <c r="I7" s="237" t="s">
        <v>353</v>
      </c>
      <c r="J7" s="242">
        <v>151.14933932675788</v>
      </c>
      <c r="K7" s="241">
        <v>67.0319339350105</v>
      </c>
      <c r="M7" s="242"/>
      <c r="N7" s="241"/>
      <c r="O7" s="242"/>
      <c r="P7" s="241"/>
    </row>
    <row r="8" spans="5:7" ht="12.75">
      <c r="E8" s="201" t="s">
        <v>347</v>
      </c>
      <c r="F8" s="238">
        <f>'Input-output'!Q25</f>
        <v>18.06599999999648</v>
      </c>
      <c r="G8" s="201">
        <v>18.06599999999648</v>
      </c>
    </row>
    <row r="9" spans="9:15" ht="12.75">
      <c r="I9" s="199" t="s">
        <v>360</v>
      </c>
      <c r="J9" s="199">
        <f>(SUM(J12:J41))^0.5</f>
        <v>27.804460773578334</v>
      </c>
      <c r="L9" s="199" t="s">
        <v>354</v>
      </c>
      <c r="N9" s="262" t="s">
        <v>367</v>
      </c>
      <c r="O9" s="262" t="s">
        <v>368</v>
      </c>
    </row>
    <row r="11" spans="3:17" ht="12.75">
      <c r="C11" s="199" t="s">
        <v>355</v>
      </c>
      <c r="D11" s="199" t="s">
        <v>356</v>
      </c>
      <c r="F11" s="199" t="s">
        <v>357</v>
      </c>
      <c r="H11" s="199" t="s">
        <v>358</v>
      </c>
      <c r="L11" s="199" t="s">
        <v>2</v>
      </c>
      <c r="M11" s="199" t="s">
        <v>359</v>
      </c>
      <c r="Q11" s="235"/>
    </row>
    <row r="12" spans="3:18" ht="12.75">
      <c r="C12" s="199">
        <f>'[1]Input-output'!B8</f>
        <v>1</v>
      </c>
      <c r="D12" s="243">
        <f>'Input-output'!C8</f>
        <v>308.7</v>
      </c>
      <c r="F12" s="244">
        <f aca="true" t="shared" si="0" ref="F12:F32">$F$5*C12^3+$F$6*C12^2+$F$7*C12+$F$8</f>
        <v>18.7876683014362</v>
      </c>
      <c r="H12" s="199">
        <f aca="true" t="shared" si="1" ref="H12:H18">NORMINV(F12/100,$J$6,$J$7)</f>
        <v>314.3916900795281</v>
      </c>
      <c r="J12" s="199">
        <f aca="true" t="shared" si="2" ref="J12:J42">((H12-D12))^2</f>
        <v>32.39533596139844</v>
      </c>
      <c r="Q12" s="235"/>
      <c r="R12" s="235"/>
    </row>
    <row r="13" spans="3:18" ht="12.75">
      <c r="C13" s="199">
        <f>'[1]Input-output'!B9</f>
        <v>2</v>
      </c>
      <c r="D13" s="243">
        <f>'Input-output'!C9</f>
        <v>316.4</v>
      </c>
      <c r="F13" s="244">
        <f t="shared" si="0"/>
        <v>19.497346486749045</v>
      </c>
      <c r="H13" s="199">
        <f t="shared" si="1"/>
        <v>318.3267668797283</v>
      </c>
      <c r="J13" s="199">
        <f t="shared" si="2"/>
        <v>3.712430608818113</v>
      </c>
      <c r="L13" s="199">
        <v>0.001</v>
      </c>
      <c r="M13" s="199">
        <f aca="true" t="shared" si="3" ref="M13:M52">NORMINV(L13/100,$J$6,$J$7)</f>
        <v>-196.386602203628</v>
      </c>
      <c r="N13" s="199">
        <f>NORMINV(L13/100,$J$6,$J$7)</f>
        <v>-196.386602203628</v>
      </c>
      <c r="O13" s="199">
        <f>NORMINV(L13/100,$K$6,$K$7)</f>
        <v>119.92390053618095</v>
      </c>
      <c r="Q13" s="235"/>
      <c r="R13" s="235"/>
    </row>
    <row r="14" spans="3:18" ht="12.75">
      <c r="C14" s="199">
        <f>'[1]Input-output'!B10</f>
        <v>3</v>
      </c>
      <c r="D14" s="243">
        <f>'Input-output'!C10</f>
        <v>324</v>
      </c>
      <c r="F14" s="244">
        <f t="shared" si="0"/>
        <v>20.195444476759704</v>
      </c>
      <c r="H14" s="199">
        <f t="shared" si="1"/>
        <v>322.11353225982975</v>
      </c>
      <c r="J14" s="199">
        <f t="shared" si="2"/>
        <v>3.558760534703037</v>
      </c>
      <c r="L14" s="199">
        <v>0.01</v>
      </c>
      <c r="M14" s="199">
        <f t="shared" si="3"/>
        <v>-113.86615246630339</v>
      </c>
      <c r="N14" s="199">
        <f aca="true" t="shared" si="4" ref="N14:N77">NORMINV(L14/100,$J$6,$J$7)</f>
        <v>-113.86615246630339</v>
      </c>
      <c r="O14" s="199">
        <f aca="true" t="shared" si="5" ref="O14:O77">NORMINV(L14/100,$K$6,$K$7)</f>
        <v>156.52019238712697</v>
      </c>
      <c r="Q14" s="235"/>
      <c r="R14" s="235"/>
    </row>
    <row r="15" spans="3:18" ht="12.75">
      <c r="C15" s="199">
        <f>'[1]Input-output'!B11</f>
        <v>4</v>
      </c>
      <c r="D15" s="243">
        <f>'Input-output'!C11</f>
        <v>329.4</v>
      </c>
      <c r="F15" s="244">
        <f t="shared" si="0"/>
        <v>20.882372192292856</v>
      </c>
      <c r="H15" s="199">
        <f t="shared" si="1"/>
        <v>325.76395190009407</v>
      </c>
      <c r="J15" s="199">
        <f t="shared" si="2"/>
        <v>13.220845784829352</v>
      </c>
      <c r="L15" s="199">
        <v>0.1</v>
      </c>
      <c r="M15" s="199">
        <f t="shared" si="3"/>
        <v>-18.817751168477855</v>
      </c>
      <c r="N15" s="199">
        <f t="shared" si="4"/>
        <v>-18.817751168477855</v>
      </c>
      <c r="O15" s="199">
        <f t="shared" si="5"/>
        <v>198.672398839387</v>
      </c>
      <c r="Q15" s="235"/>
      <c r="R15" s="235"/>
    </row>
    <row r="16" spans="3:18" ht="12.75">
      <c r="C16" s="199">
        <f>'[1]Input-output'!B12</f>
        <v>5</v>
      </c>
      <c r="D16" s="243">
        <f>'Input-output'!C12</f>
        <v>334</v>
      </c>
      <c r="F16" s="244">
        <f t="shared" si="0"/>
        <v>21.558539554173183</v>
      </c>
      <c r="H16" s="199">
        <f t="shared" si="1"/>
        <v>329.28870768534733</v>
      </c>
      <c r="J16" s="199">
        <f t="shared" si="2"/>
        <v>22.196275274105282</v>
      </c>
      <c r="L16" s="199">
        <v>0.2</v>
      </c>
      <c r="M16" s="199">
        <f t="shared" si="3"/>
        <v>13.23807121727782</v>
      </c>
      <c r="N16" s="199">
        <f t="shared" si="4"/>
        <v>13.23807121727782</v>
      </c>
      <c r="O16" s="199">
        <f t="shared" si="5"/>
        <v>212.88856265436183</v>
      </c>
      <c r="Q16" s="235"/>
      <c r="R16" s="235"/>
    </row>
    <row r="17" spans="3:18" ht="12.75">
      <c r="C17" s="199">
        <f>'[1]Input-output'!B13</f>
        <v>10</v>
      </c>
      <c r="D17" s="243">
        <f>'Input-output'!C13</f>
        <v>346</v>
      </c>
      <c r="F17" s="244">
        <f t="shared" si="0"/>
        <v>24.792318287646356</v>
      </c>
      <c r="H17" s="199">
        <f t="shared" si="1"/>
        <v>345.3332176438862</v>
      </c>
      <c r="J17" s="199">
        <f t="shared" si="2"/>
        <v>0.4445987104246695</v>
      </c>
      <c r="L17" s="199">
        <v>0.3</v>
      </c>
      <c r="M17" s="199">
        <f t="shared" si="3"/>
        <v>32.945633556319706</v>
      </c>
      <c r="N17" s="199">
        <f t="shared" si="4"/>
        <v>32.945633556319706</v>
      </c>
      <c r="O17" s="199">
        <f t="shared" si="5"/>
        <v>221.62850172796183</v>
      </c>
      <c r="Q17" s="235"/>
      <c r="R17" s="235"/>
    </row>
    <row r="18" spans="3:18" ht="12.75">
      <c r="C18" s="199">
        <f>'[1]Input-output'!B14</f>
        <v>15</v>
      </c>
      <c r="D18" s="243">
        <f>'Input-output'!C14</f>
        <v>355.4</v>
      </c>
      <c r="F18" s="244">
        <f t="shared" si="0"/>
        <v>27.818576303501303</v>
      </c>
      <c r="G18" s="199">
        <f>NORMINV(F18/100,$J$6,$J$7)</f>
        <v>359.35989011632864</v>
      </c>
      <c r="H18" s="199">
        <f t="shared" si="1"/>
        <v>359.35989011632864</v>
      </c>
      <c r="J18" s="199">
        <f t="shared" si="2"/>
        <v>15.680729733397452</v>
      </c>
      <c r="L18" s="199">
        <v>0.4</v>
      </c>
      <c r="M18" s="199">
        <f t="shared" si="3"/>
        <v>47.412745343656866</v>
      </c>
      <c r="N18" s="199">
        <f t="shared" si="4"/>
        <v>47.412745343656866</v>
      </c>
      <c r="O18" s="199">
        <f t="shared" si="5"/>
        <v>228.04439799240234</v>
      </c>
      <c r="Q18" s="235"/>
      <c r="R18" s="235"/>
    </row>
    <row r="19" spans="3:18" ht="12.75">
      <c r="C19" s="199">
        <f>'[1]Input-output'!B15</f>
        <v>20</v>
      </c>
      <c r="D19" s="243">
        <f>'Input-output'!C15</f>
        <v>364.7</v>
      </c>
      <c r="F19" s="244">
        <f t="shared" si="0"/>
        <v>30.688553704823313</v>
      </c>
      <c r="G19" s="199">
        <f>NORMINV(F19/100,$J$6,$J$7)</f>
        <v>371.9871426966624</v>
      </c>
      <c r="H19" s="199">
        <f aca="true" t="shared" si="6" ref="H19:H42">NORMINV(F19/100,$K$6,$K$7)</f>
        <v>371.98713474051397</v>
      </c>
      <c r="I19" s="199">
        <f>G19-H19</f>
        <v>7.956148408538866E-06</v>
      </c>
      <c r="J19" s="199">
        <f t="shared" si="2"/>
        <v>53.10233272640571</v>
      </c>
      <c r="L19" s="199">
        <v>0.5</v>
      </c>
      <c r="M19" s="199">
        <f t="shared" si="3"/>
        <v>58.93668006906421</v>
      </c>
      <c r="N19" s="199">
        <f t="shared" si="4"/>
        <v>58.93668006906421</v>
      </c>
      <c r="O19" s="199">
        <f t="shared" si="5"/>
        <v>233.1550497135781</v>
      </c>
      <c r="Q19" s="235"/>
      <c r="R19" s="235"/>
    </row>
    <row r="20" spans="3:18" ht="12.75">
      <c r="C20" s="199">
        <f>'[1]Input-output'!B16</f>
        <v>25</v>
      </c>
      <c r="D20" s="243">
        <f>'Input-output'!C16</f>
        <v>370.4</v>
      </c>
      <c r="F20" s="244">
        <f t="shared" si="0"/>
        <v>33.45349059469769</v>
      </c>
      <c r="G20" s="199">
        <f>NORMINV(F20/100,$J$6,$J$7)</f>
        <v>383.66686729698506</v>
      </c>
      <c r="H20" s="199">
        <f t="shared" si="6"/>
        <v>377.16687638725335</v>
      </c>
      <c r="J20" s="199">
        <f t="shared" si="2"/>
        <v>45.790616040367304</v>
      </c>
      <c r="L20" s="199">
        <v>0.6</v>
      </c>
      <c r="M20" s="199">
        <f t="shared" si="3"/>
        <v>68.56277815582598</v>
      </c>
      <c r="N20" s="199">
        <f t="shared" si="4"/>
        <v>68.56277815582598</v>
      </c>
      <c r="O20" s="199">
        <f t="shared" si="5"/>
        <v>237.42404601801329</v>
      </c>
      <c r="Q20" s="235"/>
      <c r="R20" s="235"/>
    </row>
    <row r="21" spans="3:18" ht="12.75">
      <c r="C21" s="199">
        <f>'[1]Input-output'!B17</f>
        <v>30</v>
      </c>
      <c r="D21" s="243">
        <f>'Input-output'!C17</f>
        <v>377.5</v>
      </c>
      <c r="F21" s="244">
        <f t="shared" si="0"/>
        <v>36.16462707620973</v>
      </c>
      <c r="H21" s="199">
        <f t="shared" si="6"/>
        <v>382.0845453111693</v>
      </c>
      <c r="J21" s="199">
        <f t="shared" si="2"/>
        <v>21.018055710164223</v>
      </c>
      <c r="L21" s="199">
        <v>0.7</v>
      </c>
      <c r="M21" s="199">
        <f t="shared" si="3"/>
        <v>76.85810441160748</v>
      </c>
      <c r="N21" s="199">
        <f t="shared" si="4"/>
        <v>76.85810441160748</v>
      </c>
      <c r="O21" s="199">
        <f t="shared" si="5"/>
        <v>241.10286965047933</v>
      </c>
      <c r="Q21" s="235"/>
      <c r="R21" s="235"/>
    </row>
    <row r="22" spans="3:18" ht="12.75">
      <c r="C22" s="199">
        <f>'[1]Input-output'!B18</f>
        <v>35</v>
      </c>
      <c r="D22" s="243">
        <f>'Input-output'!C18</f>
        <v>384</v>
      </c>
      <c r="F22" s="244">
        <f t="shared" si="0"/>
        <v>38.87320325244474</v>
      </c>
      <c r="H22" s="199">
        <f t="shared" si="6"/>
        <v>386.87307278815143</v>
      </c>
      <c r="J22" s="199">
        <f t="shared" si="2"/>
        <v>8.254547246016246</v>
      </c>
      <c r="L22" s="199">
        <v>0.8</v>
      </c>
      <c r="M22" s="199">
        <f t="shared" si="3"/>
        <v>84.16592679544118</v>
      </c>
      <c r="N22" s="199">
        <f t="shared" si="4"/>
        <v>84.16592679544118</v>
      </c>
      <c r="O22" s="199">
        <f t="shared" si="5"/>
        <v>244.34375359627646</v>
      </c>
      <c r="Q22" s="235"/>
      <c r="R22" s="235"/>
    </row>
    <row r="23" spans="3:18" ht="12.75">
      <c r="C23" s="199">
        <f>'[1]Input-output'!B19</f>
        <v>40</v>
      </c>
      <c r="D23" s="243">
        <f>'Input-output'!C19</f>
        <v>390.4</v>
      </c>
      <c r="F23" s="244">
        <f t="shared" si="0"/>
        <v>41.630459226488</v>
      </c>
      <c r="H23" s="199">
        <f t="shared" si="6"/>
        <v>391.6503730573616</v>
      </c>
      <c r="J23" s="199">
        <f t="shared" si="2"/>
        <v>1.5634327825758652</v>
      </c>
      <c r="L23" s="199">
        <v>1</v>
      </c>
      <c r="M23" s="199">
        <f t="shared" si="3"/>
        <v>96.64607290386203</v>
      </c>
      <c r="N23" s="199">
        <f t="shared" si="4"/>
        <v>96.64607290386203</v>
      </c>
      <c r="O23" s="199">
        <f t="shared" si="5"/>
        <v>249.87846736456115</v>
      </c>
      <c r="Q23" s="235"/>
      <c r="R23" s="235"/>
    </row>
    <row r="24" spans="3:18" ht="12.75">
      <c r="C24" s="199">
        <f>'[1]Input-output'!B20</f>
        <v>45</v>
      </c>
      <c r="D24" s="243">
        <f>'Input-output'!C20</f>
        <v>397.3</v>
      </c>
      <c r="F24" s="244">
        <f t="shared" si="0"/>
        <v>44.487635101424814</v>
      </c>
      <c r="H24" s="199">
        <f t="shared" si="6"/>
        <v>396.5262360346832</v>
      </c>
      <c r="J24" s="199">
        <f t="shared" si="2"/>
        <v>0.5987106740227609</v>
      </c>
      <c r="L24" s="199">
        <v>2</v>
      </c>
      <c r="M24" s="199">
        <f t="shared" si="3"/>
        <v>137.84930435501627</v>
      </c>
      <c r="N24" s="199">
        <f t="shared" si="4"/>
        <v>137.84930435501627</v>
      </c>
      <c r="O24" s="199">
        <f t="shared" si="5"/>
        <v>268.15133776442383</v>
      </c>
      <c r="Q24" s="235"/>
      <c r="R24" s="235"/>
    </row>
    <row r="25" spans="3:18" ht="12.75">
      <c r="C25" s="199">
        <f>'[1]Input-output'!B21</f>
        <v>50</v>
      </c>
      <c r="D25" s="243">
        <f>'Input-output'!C21</f>
        <v>403.3</v>
      </c>
      <c r="F25" s="244">
        <f t="shared" si="0"/>
        <v>47.49597098034049</v>
      </c>
      <c r="H25" s="199">
        <f t="shared" si="6"/>
        <v>401.607877922286</v>
      </c>
      <c r="J25" s="199">
        <f t="shared" si="2"/>
        <v>2.8632771258872527</v>
      </c>
      <c r="L25" s="199">
        <v>3</v>
      </c>
      <c r="M25" s="199">
        <f t="shared" si="3"/>
        <v>163.99131851106858</v>
      </c>
      <c r="N25" s="199">
        <f t="shared" si="4"/>
        <v>163.99131851106858</v>
      </c>
      <c r="O25" s="199">
        <f t="shared" si="5"/>
        <v>279.74483710515426</v>
      </c>
      <c r="Q25" s="235"/>
      <c r="R25" s="235"/>
    </row>
    <row r="26" spans="3:18" ht="12.75">
      <c r="C26" s="199">
        <f>'[1]Input-output'!B22</f>
        <v>55</v>
      </c>
      <c r="D26" s="243">
        <f>'Input-output'!C22</f>
        <v>410</v>
      </c>
      <c r="F26" s="244">
        <f t="shared" si="0"/>
        <v>50.70670696632031</v>
      </c>
      <c r="H26" s="199">
        <f t="shared" si="6"/>
        <v>407.0055000515045</v>
      </c>
      <c r="J26" s="199">
        <f t="shared" si="2"/>
        <v>8.967029941539563</v>
      </c>
      <c r="L26" s="199">
        <v>4</v>
      </c>
      <c r="M26" s="199">
        <f t="shared" si="3"/>
        <v>183.65691816703622</v>
      </c>
      <c r="N26" s="199">
        <f t="shared" si="4"/>
        <v>183.65691816703622</v>
      </c>
      <c r="O26" s="199">
        <f t="shared" si="5"/>
        <v>288.46616650561845</v>
      </c>
      <c r="Q26" s="235"/>
      <c r="R26" s="235"/>
    </row>
    <row r="27" spans="3:18" ht="12.75">
      <c r="C27" s="199">
        <f>'[1]Input-output'!B23</f>
        <v>60</v>
      </c>
      <c r="D27" s="243">
        <f>'Input-output'!C23</f>
        <v>417</v>
      </c>
      <c r="F27" s="244">
        <f t="shared" si="0"/>
        <v>54.17108316244959</v>
      </c>
      <c r="H27" s="199">
        <f t="shared" si="6"/>
        <v>412.83924087613053</v>
      </c>
      <c r="J27" s="199">
        <f t="shared" si="2"/>
        <v>17.311916486863023</v>
      </c>
      <c r="L27" s="199">
        <v>5</v>
      </c>
      <c r="M27" s="199">
        <f t="shared" si="3"/>
        <v>199.65336885159542</v>
      </c>
      <c r="N27" s="199">
        <f t="shared" si="4"/>
        <v>199.65336885159542</v>
      </c>
      <c r="O27" s="199">
        <f t="shared" si="5"/>
        <v>295.56029626005926</v>
      </c>
      <c r="Q27" s="235"/>
      <c r="R27" s="235"/>
    </row>
    <row r="28" spans="3:18" ht="12.75">
      <c r="C28" s="199">
        <f>'[1]Input-output'!B24</f>
        <v>65</v>
      </c>
      <c r="D28" s="243">
        <f>'Input-output'!C24</f>
        <v>424</v>
      </c>
      <c r="F28" s="244">
        <f t="shared" si="0"/>
        <v>57.940339671813604</v>
      </c>
      <c r="H28" s="199">
        <f t="shared" si="6"/>
        <v>419.24902798249036</v>
      </c>
      <c r="J28" s="199">
        <f t="shared" si="2"/>
        <v>22.57173511115961</v>
      </c>
      <c r="L28" s="199">
        <v>6</v>
      </c>
      <c r="M28" s="199">
        <f t="shared" si="3"/>
        <v>213.2688688336414</v>
      </c>
      <c r="N28" s="199">
        <f t="shared" si="4"/>
        <v>213.2688688336414</v>
      </c>
      <c r="O28" s="199">
        <f t="shared" si="5"/>
        <v>301.5985184537773</v>
      </c>
      <c r="Q28" s="235"/>
      <c r="R28" s="235"/>
    </row>
    <row r="29" spans="3:18" ht="12.75">
      <c r="C29" s="199">
        <f>'[1]Input-output'!B25</f>
        <v>70</v>
      </c>
      <c r="D29" s="243">
        <f>'Input-output'!C25</f>
        <v>431.4</v>
      </c>
      <c r="F29" s="244">
        <f t="shared" si="0"/>
        <v>62.06571659749768</v>
      </c>
      <c r="H29" s="199">
        <f t="shared" si="6"/>
        <v>426.4107097650358</v>
      </c>
      <c r="J29" s="199">
        <f t="shared" si="2"/>
        <v>24.893017048708995</v>
      </c>
      <c r="L29" s="199">
        <v>7</v>
      </c>
      <c r="M29" s="199">
        <f t="shared" si="3"/>
        <v>225.2070076055366</v>
      </c>
      <c r="N29" s="199">
        <f t="shared" si="4"/>
        <v>225.2070076055366</v>
      </c>
      <c r="O29" s="199">
        <f t="shared" si="5"/>
        <v>306.89286200188036</v>
      </c>
      <c r="Q29" s="235"/>
      <c r="R29" s="235"/>
    </row>
    <row r="30" spans="3:18" ht="12.75">
      <c r="C30" s="199">
        <f>'[1]Input-output'!B26</f>
        <v>75</v>
      </c>
      <c r="D30" s="243">
        <f>'Input-output'!C26</f>
        <v>439.6</v>
      </c>
      <c r="F30" s="244">
        <f t="shared" si="0"/>
        <v>66.5984540425871</v>
      </c>
      <c r="H30" s="199">
        <f t="shared" si="6"/>
        <v>434.5647918860203</v>
      </c>
      <c r="J30" s="199">
        <f t="shared" si="2"/>
        <v>25.35332075108707</v>
      </c>
      <c r="L30" s="199">
        <v>8</v>
      </c>
      <c r="M30" s="199">
        <f t="shared" si="3"/>
        <v>235.89619507905675</v>
      </c>
      <c r="N30" s="199">
        <f t="shared" si="4"/>
        <v>235.89619507905675</v>
      </c>
      <c r="O30" s="199">
        <f t="shared" si="5"/>
        <v>311.633318769574</v>
      </c>
      <c r="Q30" s="235"/>
      <c r="R30" s="235"/>
    </row>
    <row r="31" spans="3:18" ht="12.75">
      <c r="C31" s="199">
        <f>'[1]Input-output'!B27</f>
        <v>80</v>
      </c>
      <c r="D31" s="243">
        <f>'Input-output'!C27</f>
        <v>448.4</v>
      </c>
      <c r="F31" s="244">
        <f t="shared" si="0"/>
        <v>71.58979211016715</v>
      </c>
      <c r="H31" s="199">
        <f t="shared" si="6"/>
        <v>444.0730097136234</v>
      </c>
      <c r="J31" s="199">
        <f t="shared" si="2"/>
        <v>18.722844938397444</v>
      </c>
      <c r="L31" s="199">
        <v>9</v>
      </c>
      <c r="M31" s="199">
        <f t="shared" si="3"/>
        <v>245.6175902799286</v>
      </c>
      <c r="N31" s="199">
        <f t="shared" si="4"/>
        <v>245.6175902799286</v>
      </c>
      <c r="O31" s="199">
        <f t="shared" si="5"/>
        <v>315.94457757998947</v>
      </c>
      <c r="Q31" s="235"/>
      <c r="R31" s="235"/>
    </row>
    <row r="32" spans="3:18" ht="12.75">
      <c r="C32" s="199">
        <f>'[1]Input-output'!B28</f>
        <v>85</v>
      </c>
      <c r="D32" s="243">
        <f>'Input-output'!C28</f>
        <v>458.8</v>
      </c>
      <c r="E32" s="199">
        <f aca="true" t="shared" si="7" ref="E32:E42">(F32-F31)/(C32-C31)</f>
        <v>1.1002357586311973</v>
      </c>
      <c r="F32" s="244">
        <f t="shared" si="0"/>
        <v>77.09097090332314</v>
      </c>
      <c r="H32" s="199">
        <f t="shared" si="6"/>
        <v>455.54536874892693</v>
      </c>
      <c r="J32" s="199">
        <f t="shared" si="2"/>
        <v>10.592624580461512</v>
      </c>
      <c r="L32" s="199">
        <v>10</v>
      </c>
      <c r="M32" s="199">
        <f t="shared" si="3"/>
        <v>254.56615604466873</v>
      </c>
      <c r="N32" s="199">
        <f t="shared" si="4"/>
        <v>254.56615604466873</v>
      </c>
      <c r="O32" s="199">
        <f t="shared" si="5"/>
        <v>319.913100841996</v>
      </c>
      <c r="Q32" s="235"/>
      <c r="R32" s="235"/>
    </row>
    <row r="33" spans="3:18" ht="12.75">
      <c r="C33" s="199">
        <f>'[1]Input-output'!B29</f>
        <v>90</v>
      </c>
      <c r="D33" s="243">
        <f>'Input-output'!C30</f>
        <v>472</v>
      </c>
      <c r="E33" s="199">
        <f t="shared" si="7"/>
        <v>1.2124519243634437</v>
      </c>
      <c r="F33" s="244">
        <f>IF(($F$5*C33^3+$F$6*C33^2+$F$7*C33+$F$8)&gt;100,99.9,($F$5*C33^3+$F$6*C33^2+$F$7*C33+$F$8))</f>
        <v>83.15323052514036</v>
      </c>
      <c r="H33" s="199">
        <f t="shared" si="6"/>
        <v>470.1846208132248</v>
      </c>
      <c r="J33" s="199">
        <f t="shared" si="2"/>
        <v>3.295601591776599</v>
      </c>
      <c r="L33" s="199">
        <v>11</v>
      </c>
      <c r="M33" s="199">
        <f t="shared" si="3"/>
        <v>262.88291842303556</v>
      </c>
      <c r="N33" s="199">
        <f t="shared" si="4"/>
        <v>262.88291842303556</v>
      </c>
      <c r="O33" s="199">
        <f t="shared" si="5"/>
        <v>323.601430998006</v>
      </c>
      <c r="Q33" s="235"/>
      <c r="R33" s="235"/>
    </row>
    <row r="34" spans="3:18" ht="12.75">
      <c r="C34" s="199">
        <f>'[1]Input-output'!B30</f>
        <v>91</v>
      </c>
      <c r="D34" s="243">
        <f>'Input-output'!C31</f>
        <v>472.8</v>
      </c>
      <c r="E34" s="199">
        <f t="shared" si="7"/>
        <v>1.2842907528743126</v>
      </c>
      <c r="F34" s="244">
        <f>IF(($F$5*C34^3+$F$6*C34^2+$F$7*C34+$F$8)&gt;100,99.9,($F$5*C34^3+$F$6*C34^2+$F$7*C34+$F$8))</f>
        <v>84.43752127801467</v>
      </c>
      <c r="H34" s="199">
        <f t="shared" si="6"/>
        <v>473.69478151040147</v>
      </c>
      <c r="J34" s="199">
        <f t="shared" si="2"/>
        <v>0.8006339513563145</v>
      </c>
      <c r="L34" s="199">
        <v>12</v>
      </c>
      <c r="M34" s="199">
        <f t="shared" si="3"/>
        <v>270.6733639389239</v>
      </c>
      <c r="N34" s="199">
        <f t="shared" si="4"/>
        <v>270.6733639389239</v>
      </c>
      <c r="O34" s="199">
        <f t="shared" si="5"/>
        <v>327.05634936861435</v>
      </c>
      <c r="Q34" s="235"/>
      <c r="R34" s="235"/>
    </row>
    <row r="35" spans="3:18" ht="12.75">
      <c r="C35" s="199">
        <f>'[1]Input-output'!B31</f>
        <v>92</v>
      </c>
      <c r="D35" s="243">
        <f>'Input-output'!C32</f>
        <v>481.3</v>
      </c>
      <c r="E35" s="199">
        <f t="shared" si="7"/>
        <v>1.3091935109688393</v>
      </c>
      <c r="F35" s="244">
        <f aca="true" t="shared" si="8" ref="F35:F42">IF(($F$5*C35^3+$F$6*C35^2+$F$7*C35+$F$8)&gt;99,99,($F$5*C35^3+$F$6*C35^2+$F$7*C35+$F$8))</f>
        <v>85.74671478898351</v>
      </c>
      <c r="H35" s="199">
        <f t="shared" si="6"/>
        <v>477.4757422269106</v>
      </c>
      <c r="J35" s="199">
        <f t="shared" si="2"/>
        <v>14.624947515034805</v>
      </c>
      <c r="L35" s="199">
        <v>13</v>
      </c>
      <c r="M35" s="199">
        <f t="shared" si="3"/>
        <v>278.01857594610976</v>
      </c>
      <c r="N35" s="199">
        <f t="shared" si="4"/>
        <v>278.01857594610976</v>
      </c>
      <c r="O35" s="199">
        <f t="shared" si="5"/>
        <v>330.3138149202164</v>
      </c>
      <c r="Q35" s="235"/>
      <c r="R35" s="235"/>
    </row>
    <row r="36" spans="3:18" ht="12.75">
      <c r="C36" s="199">
        <f>'[1]Input-output'!B32</f>
        <v>93</v>
      </c>
      <c r="D36" s="243">
        <f>'Input-output'!C33</f>
        <v>485.7</v>
      </c>
      <c r="E36" s="199">
        <f t="shared" si="7"/>
        <v>1.3345061898880743</v>
      </c>
      <c r="F36" s="244">
        <f t="shared" si="8"/>
        <v>87.08122097887158</v>
      </c>
      <c r="H36" s="199">
        <f t="shared" si="6"/>
        <v>481.5801192649758</v>
      </c>
      <c r="J36" s="199">
        <f t="shared" si="2"/>
        <v>16.973417270823514</v>
      </c>
      <c r="L36" s="199">
        <v>14</v>
      </c>
      <c r="M36" s="199">
        <f t="shared" si="3"/>
        <v>284.9823068634938</v>
      </c>
      <c r="N36" s="199">
        <f t="shared" si="4"/>
        <v>284.9823068634938</v>
      </c>
      <c r="O36" s="199">
        <f t="shared" si="5"/>
        <v>333.4021006704184</v>
      </c>
      <c r="Q36" s="235"/>
      <c r="R36" s="235"/>
    </row>
    <row r="37" spans="3:18" ht="12.75">
      <c r="C37" s="199">
        <f>'[1]Input-output'!B33</f>
        <v>94</v>
      </c>
      <c r="D37" s="243">
        <f>'Input-output'!C34</f>
        <v>491.5</v>
      </c>
      <c r="E37" s="199">
        <f t="shared" si="7"/>
        <v>1.3602287896319751</v>
      </c>
      <c r="F37" s="244">
        <f t="shared" si="8"/>
        <v>88.44144976850356</v>
      </c>
      <c r="H37" s="199">
        <f t="shared" si="6"/>
        <v>486.0785681955512</v>
      </c>
      <c r="J37" s="199">
        <f t="shared" si="2"/>
        <v>29.39192281028883</v>
      </c>
      <c r="L37" s="199">
        <v>15</v>
      </c>
      <c r="M37" s="199">
        <f t="shared" si="3"/>
        <v>291.6156501937749</v>
      </c>
      <c r="N37" s="199">
        <f t="shared" si="4"/>
        <v>291.6156501937749</v>
      </c>
      <c r="O37" s="199">
        <f t="shared" si="5"/>
        <v>336.34386564183126</v>
      </c>
      <c r="Q37" s="235"/>
      <c r="R37" s="235"/>
    </row>
    <row r="38" spans="3:18" ht="12.75">
      <c r="C38" s="199">
        <f>'[1]Input-output'!B34</f>
        <v>95</v>
      </c>
      <c r="D38" s="243">
        <f>'Input-output'!C35</f>
        <v>495.9</v>
      </c>
      <c r="E38" s="199">
        <f t="shared" si="7"/>
        <v>1.3863613102005843</v>
      </c>
      <c r="F38" s="244">
        <f t="shared" si="8"/>
        <v>89.82781107870414</v>
      </c>
      <c r="H38" s="199">
        <f t="shared" si="6"/>
        <v>491.06932158318523</v>
      </c>
      <c r="J38" s="199">
        <f t="shared" si="2"/>
        <v>23.335453966679847</v>
      </c>
      <c r="L38" s="199">
        <v>16</v>
      </c>
      <c r="M38" s="199">
        <f t="shared" si="3"/>
        <v>297.9602306808361</v>
      </c>
      <c r="N38" s="199">
        <f t="shared" si="4"/>
        <v>297.9602306808361</v>
      </c>
      <c r="O38" s="199">
        <f t="shared" si="5"/>
        <v>339.15756963781524</v>
      </c>
      <c r="Q38" s="235"/>
      <c r="R38" s="235"/>
    </row>
    <row r="39" spans="3:18" ht="12.75">
      <c r="C39" s="199">
        <f>'[1]Input-output'!B35</f>
        <v>96</v>
      </c>
      <c r="D39" s="243">
        <f>'Input-output'!C36</f>
        <v>493.1</v>
      </c>
      <c r="E39" s="199">
        <f t="shared" si="7"/>
        <v>1.4129037515938307</v>
      </c>
      <c r="F39" s="244">
        <f t="shared" si="8"/>
        <v>91.24071483029797</v>
      </c>
      <c r="H39" s="199">
        <f t="shared" si="6"/>
        <v>496.69510556197747</v>
      </c>
      <c r="J39" s="199">
        <f t="shared" si="2"/>
        <v>12.924784001761182</v>
      </c>
      <c r="L39" s="199">
        <v>17</v>
      </c>
      <c r="M39" s="199">
        <f t="shared" si="3"/>
        <v>304.05044476978344</v>
      </c>
      <c r="N39" s="199">
        <f t="shared" si="4"/>
        <v>304.05044476978344</v>
      </c>
      <c r="O39" s="199">
        <f t="shared" si="5"/>
        <v>341.8584668450326</v>
      </c>
      <c r="Q39" s="235"/>
      <c r="R39" s="235"/>
    </row>
    <row r="40" spans="3:17" ht="12.75">
      <c r="C40" s="199">
        <f>'[1]Input-output'!B36</f>
        <v>97</v>
      </c>
      <c r="D40" s="243">
        <f>'Input-output'!C37</f>
        <v>495</v>
      </c>
      <c r="E40" s="199">
        <f t="shared" si="7"/>
        <v>1.4398561138117998</v>
      </c>
      <c r="F40" s="244">
        <f t="shared" si="8"/>
        <v>92.68057094410977</v>
      </c>
      <c r="H40" s="199">
        <f t="shared" si="6"/>
        <v>503.1756487194072</v>
      </c>
      <c r="J40" s="199">
        <f t="shared" si="2"/>
        <v>66.8412319831447</v>
      </c>
      <c r="L40" s="199">
        <v>18</v>
      </c>
      <c r="M40" s="199">
        <f t="shared" si="3"/>
        <v>309.9150727000603</v>
      </c>
      <c r="N40" s="199">
        <f t="shared" si="4"/>
        <v>309.9150727000603</v>
      </c>
      <c r="O40" s="199">
        <f t="shared" si="5"/>
        <v>344.4593207669005</v>
      </c>
      <c r="Q40" s="235"/>
    </row>
    <row r="41" spans="3:15" ht="12.75">
      <c r="C41" s="199">
        <f>'[1]Input-output'!B37</f>
        <v>98</v>
      </c>
      <c r="D41" s="243">
        <f>'Input-output'!C37</f>
        <v>495</v>
      </c>
      <c r="E41" s="199">
        <f t="shared" si="7"/>
        <v>1.4672183968544346</v>
      </c>
      <c r="F41" s="244">
        <f t="shared" si="8"/>
        <v>94.14778934096421</v>
      </c>
      <c r="H41" s="199">
        <f t="shared" si="6"/>
        <v>510.87726702072047</v>
      </c>
      <c r="J41" s="199">
        <f t="shared" si="2"/>
        <v>252.08760804725776</v>
      </c>
      <c r="L41" s="199">
        <v>19</v>
      </c>
      <c r="M41" s="199">
        <f t="shared" si="3"/>
        <v>315.57846322058265</v>
      </c>
      <c r="N41" s="199">
        <f t="shared" si="4"/>
        <v>315.57846322058265</v>
      </c>
      <c r="O41" s="199">
        <f t="shared" si="5"/>
        <v>346.9709296228223</v>
      </c>
    </row>
    <row r="42" spans="3:15" ht="12.75">
      <c r="C42" s="199">
        <f>'[1]Input-output'!B38</f>
        <v>99</v>
      </c>
      <c r="D42" s="243">
        <f>'Input-output'!C38</f>
        <v>496.5</v>
      </c>
      <c r="E42" s="199">
        <f t="shared" si="7"/>
        <v>1.4949906007217635</v>
      </c>
      <c r="F42" s="244">
        <f t="shared" si="8"/>
        <v>95.64277994168597</v>
      </c>
      <c r="H42" s="199">
        <f t="shared" si="6"/>
        <v>520.4866460003288</v>
      </c>
      <c r="J42" s="199">
        <f t="shared" si="2"/>
        <v>575.3591863450919</v>
      </c>
      <c r="L42" s="199">
        <v>20</v>
      </c>
      <c r="M42" s="199">
        <f t="shared" si="3"/>
        <v>321.06142054643163</v>
      </c>
      <c r="N42" s="199">
        <f t="shared" si="4"/>
        <v>321.06142054643163</v>
      </c>
      <c r="O42" s="199">
        <f t="shared" si="5"/>
        <v>349.40251969706173</v>
      </c>
    </row>
    <row r="43" spans="6:15" ht="12.75">
      <c r="F43" s="244"/>
      <c r="L43" s="199">
        <v>21</v>
      </c>
      <c r="M43" s="199">
        <f t="shared" si="3"/>
        <v>326.38187941845587</v>
      </c>
      <c r="N43" s="199">
        <f t="shared" si="4"/>
        <v>326.38187941845587</v>
      </c>
      <c r="O43" s="199">
        <f t="shared" si="5"/>
        <v>351.76204471517957</v>
      </c>
    </row>
    <row r="44" spans="6:15" ht="12.75">
      <c r="F44" s="244"/>
      <c r="L44" s="199">
        <v>22</v>
      </c>
      <c r="M44" s="199">
        <f t="shared" si="3"/>
        <v>331.55542650274293</v>
      </c>
      <c r="N44" s="199">
        <f t="shared" si="4"/>
        <v>331.55542650274293</v>
      </c>
      <c r="O44" s="199">
        <f t="shared" si="5"/>
        <v>354.0564170750474</v>
      </c>
    </row>
    <row r="45" spans="12:15" ht="12.75">
      <c r="L45" s="199">
        <v>23</v>
      </c>
      <c r="M45" s="199">
        <f t="shared" si="3"/>
        <v>336.5957084708242</v>
      </c>
      <c r="N45" s="199">
        <f t="shared" si="4"/>
        <v>336.5957084708242</v>
      </c>
      <c r="O45" s="199">
        <f t="shared" si="5"/>
        <v>356.29168882286405</v>
      </c>
    </row>
    <row r="46" spans="12:15" ht="12.75">
      <c r="L46" s="199">
        <v>24</v>
      </c>
      <c r="M46" s="199">
        <f t="shared" si="3"/>
        <v>341.51475523721683</v>
      </c>
      <c r="N46" s="199">
        <f t="shared" si="4"/>
        <v>341.51475523721683</v>
      </c>
      <c r="O46" s="199">
        <f t="shared" si="5"/>
        <v>358.4731950030216</v>
      </c>
    </row>
    <row r="47" spans="12:15" ht="12.75">
      <c r="L47" s="199">
        <v>25</v>
      </c>
      <c r="M47" s="199">
        <f t="shared" si="3"/>
        <v>346.3232388009002</v>
      </c>
      <c r="N47" s="199">
        <f t="shared" si="4"/>
        <v>346.3232388009002</v>
      </c>
      <c r="O47" s="199">
        <f t="shared" si="5"/>
        <v>360.60566844950887</v>
      </c>
    </row>
    <row r="48" spans="12:15" ht="12.75">
      <c r="L48" s="199">
        <v>26</v>
      </c>
      <c r="M48" s="199">
        <f t="shared" si="3"/>
        <v>351.0306825998937</v>
      </c>
      <c r="N48" s="199">
        <f t="shared" si="4"/>
        <v>351.0306825998937</v>
      </c>
      <c r="O48" s="199">
        <f t="shared" si="5"/>
        <v>362.69333263079085</v>
      </c>
    </row>
    <row r="49" spans="12:15" ht="12.75">
      <c r="L49" s="199">
        <v>27</v>
      </c>
      <c r="M49" s="199">
        <f t="shared" si="3"/>
        <v>355.64563240421796</v>
      </c>
      <c r="N49" s="199">
        <f t="shared" si="4"/>
        <v>355.64563240421796</v>
      </c>
      <c r="O49" s="199">
        <f t="shared" si="5"/>
        <v>364.73997743767353</v>
      </c>
    </row>
    <row r="50" spans="12:15" ht="12.75">
      <c r="L50" s="199">
        <v>28</v>
      </c>
      <c r="M50" s="199">
        <f t="shared" si="3"/>
        <v>360.17579700595377</v>
      </c>
      <c r="N50" s="199">
        <f t="shared" si="4"/>
        <v>360.17579700595377</v>
      </c>
      <c r="O50" s="199">
        <f t="shared" si="5"/>
        <v>366.7490215767406</v>
      </c>
    </row>
    <row r="51" spans="12:15" ht="12.75">
      <c r="L51" s="199">
        <v>29</v>
      </c>
      <c r="M51" s="199">
        <f t="shared" si="3"/>
        <v>364.6281649663787</v>
      </c>
      <c r="N51" s="199">
        <f t="shared" si="4"/>
        <v>364.6281649663787</v>
      </c>
      <c r="O51" s="199">
        <f t="shared" si="5"/>
        <v>368.72356434554723</v>
      </c>
    </row>
    <row r="52" spans="12:15" ht="12.75">
      <c r="L52" s="199">
        <v>30</v>
      </c>
      <c r="M52" s="199">
        <f t="shared" si="3"/>
        <v>369.0091022172392</v>
      </c>
      <c r="N52" s="199">
        <f t="shared" si="4"/>
        <v>369.0091022172392</v>
      </c>
      <c r="O52" s="199">
        <f t="shared" si="5"/>
        <v>370.6664289169779</v>
      </c>
    </row>
    <row r="53" spans="12:15" ht="12.75">
      <c r="L53" s="199">
        <v>31</v>
      </c>
      <c r="M53" s="199">
        <f aca="true" t="shared" si="9" ref="M53:M84">NORMINV(L53/100,$K$6,$K$7)</f>
        <v>372.58019877960896</v>
      </c>
      <c r="N53" s="199">
        <f t="shared" si="4"/>
        <v>373.32443422959904</v>
      </c>
      <c r="O53" s="199">
        <f t="shared" si="5"/>
        <v>372.58019877960896</v>
      </c>
    </row>
    <row r="54" spans="12:15" ht="12.75">
      <c r="L54" s="199">
        <v>32</v>
      </c>
      <c r="M54" s="199">
        <f t="shared" si="9"/>
        <v>374.467248620989</v>
      </c>
      <c r="N54" s="199">
        <f t="shared" si="4"/>
        <v>377.57951565210124</v>
      </c>
      <c r="O54" s="199">
        <f t="shared" si="5"/>
        <v>374.467248620989</v>
      </c>
    </row>
    <row r="55" spans="12:15" ht="12.75">
      <c r="L55" s="199">
        <v>33</v>
      </c>
      <c r="M55" s="199">
        <f t="shared" si="9"/>
        <v>376.32977066839896</v>
      </c>
      <c r="N55" s="199">
        <f t="shared" si="4"/>
        <v>381.7792897063674</v>
      </c>
      <c r="O55" s="199">
        <f t="shared" si="5"/>
        <v>376.32977066839896</v>
      </c>
    </row>
    <row r="56" spans="12:15" ht="12.75">
      <c r="L56" s="199">
        <v>34</v>
      </c>
      <c r="M56" s="199">
        <f t="shared" si="9"/>
        <v>378.1697972936119</v>
      </c>
      <c r="N56" s="199">
        <f t="shared" si="4"/>
        <v>385.9283391581439</v>
      </c>
      <c r="O56" s="199">
        <f t="shared" si="5"/>
        <v>378.1697972936119</v>
      </c>
    </row>
    <row r="57" spans="12:15" ht="12.75">
      <c r="L57" s="199">
        <v>35</v>
      </c>
      <c r="M57" s="199">
        <f t="shared" si="9"/>
        <v>379.9892205278461</v>
      </c>
      <c r="N57" s="199">
        <f t="shared" si="4"/>
        <v>390.03093032128834</v>
      </c>
      <c r="O57" s="199">
        <f t="shared" si="5"/>
        <v>379.9892205278461</v>
      </c>
    </row>
    <row r="58" spans="12:15" ht="12.75">
      <c r="L58" s="199">
        <v>36</v>
      </c>
      <c r="M58" s="199">
        <f t="shared" si="9"/>
        <v>381.78980900854214</v>
      </c>
      <c r="N58" s="199">
        <f t="shared" si="4"/>
        <v>394.09105127081125</v>
      </c>
      <c r="O58" s="199">
        <f t="shared" si="5"/>
        <v>381.78980900854214</v>
      </c>
    </row>
    <row r="59" spans="12:15" ht="12.75">
      <c r="L59" s="199">
        <v>37</v>
      </c>
      <c r="M59" s="199">
        <f t="shared" si="9"/>
        <v>383.5732227820787</v>
      </c>
      <c r="N59" s="199">
        <f t="shared" si="4"/>
        <v>398.1124452213071</v>
      </c>
      <c r="O59" s="199">
        <f t="shared" si="5"/>
        <v>383.5732227820787</v>
      </c>
    </row>
    <row r="60" spans="12:15" ht="12.75">
      <c r="L60" s="199">
        <v>38</v>
      </c>
      <c r="M60" s="199">
        <f t="shared" si="9"/>
        <v>385.3410263096777</v>
      </c>
      <c r="N60" s="199">
        <f t="shared" si="4"/>
        <v>402.0986398537813</v>
      </c>
      <c r="O60" s="199">
        <f t="shared" si="5"/>
        <v>385.3410263096777</v>
      </c>
    </row>
    <row r="61" spans="12:15" ht="12.75">
      <c r="L61" s="199">
        <v>39</v>
      </c>
      <c r="M61" s="199">
        <f t="shared" si="9"/>
        <v>387.09469996276545</v>
      </c>
      <c r="N61" s="199">
        <f t="shared" si="4"/>
        <v>406.052973236374</v>
      </c>
      <c r="O61" s="199">
        <f t="shared" si="5"/>
        <v>387.09469996276545</v>
      </c>
    </row>
    <row r="62" spans="12:15" ht="12.75">
      <c r="L62" s="199">
        <v>40</v>
      </c>
      <c r="M62" s="199">
        <f t="shared" si="9"/>
        <v>388.8356502454057</v>
      </c>
      <c r="N62" s="199">
        <f t="shared" si="4"/>
        <v>409.97861687477666</v>
      </c>
      <c r="O62" s="199">
        <f t="shared" si="5"/>
        <v>388.8356502454057</v>
      </c>
    </row>
    <row r="63" spans="12:15" ht="12.75">
      <c r="L63" s="199">
        <v>41</v>
      </c>
      <c r="M63" s="199">
        <f t="shared" si="9"/>
        <v>390.56521894240365</v>
      </c>
      <c r="N63" s="199">
        <f t="shared" si="4"/>
        <v>413.87859634016013</v>
      </c>
      <c r="O63" s="199">
        <f t="shared" si="5"/>
        <v>390.56521894240365</v>
      </c>
    </row>
    <row r="64" spans="12:15" ht="12.75">
      <c r="L64" s="199">
        <v>42</v>
      </c>
      <c r="M64" s="199">
        <f t="shared" si="9"/>
        <v>392.2846913602588</v>
      </c>
      <c r="N64" s="199">
        <f t="shared" si="4"/>
        <v>417.75580985157944</v>
      </c>
      <c r="O64" s="199">
        <f t="shared" si="5"/>
        <v>392.2846913602588</v>
      </c>
    </row>
    <row r="65" spans="12:15" ht="12.75">
      <c r="L65" s="199">
        <v>43</v>
      </c>
      <c r="M65" s="199">
        <f t="shared" si="9"/>
        <v>393.9953038027539</v>
      </c>
      <c r="N65" s="199">
        <f t="shared" si="4"/>
        <v>421.61304513257164</v>
      </c>
      <c r="O65" s="199">
        <f t="shared" si="5"/>
        <v>393.9953038027539</v>
      </c>
    </row>
    <row r="66" spans="12:15" ht="12.75">
      <c r="L66" s="199">
        <v>44</v>
      </c>
      <c r="M66" s="199">
        <f t="shared" si="9"/>
        <v>395.69825040240016</v>
      </c>
      <c r="N66" s="199">
        <f t="shared" si="4"/>
        <v>425.4529948152832</v>
      </c>
      <c r="O66" s="199">
        <f t="shared" si="5"/>
        <v>395.69825040240016</v>
      </c>
    </row>
    <row r="67" spans="12:15" ht="12.75">
      <c r="L67" s="199">
        <v>45</v>
      </c>
      <c r="M67" s="199">
        <f t="shared" si="9"/>
        <v>397.39468941229046</v>
      </c>
      <c r="N67" s="199">
        <f t="shared" si="4"/>
        <v>429.2782706278782</v>
      </c>
      <c r="O67" s="199">
        <f t="shared" si="5"/>
        <v>397.39468941229046</v>
      </c>
    </row>
    <row r="68" spans="12:15" ht="12.75">
      <c r="L68" s="199">
        <v>46</v>
      </c>
      <c r="M68" s="199">
        <f t="shared" si="9"/>
        <v>399.0857490494067</v>
      </c>
      <c r="N68" s="199">
        <f t="shared" si="4"/>
        <v>433.09141657052805</v>
      </c>
      <c r="O68" s="199">
        <f t="shared" si="5"/>
        <v>399.0857490494067</v>
      </c>
    </row>
    <row r="69" spans="12:15" ht="12.75">
      <c r="L69" s="199">
        <v>47</v>
      </c>
      <c r="M69" s="199">
        <f t="shared" si="9"/>
        <v>400.77253296953796</v>
      </c>
      <c r="N69" s="199">
        <f t="shared" si="4"/>
        <v>436.89492126072594</v>
      </c>
      <c r="O69" s="199">
        <f t="shared" si="5"/>
        <v>400.77253296953796</v>
      </c>
    </row>
    <row r="70" spans="12:15" ht="12.75">
      <c r="L70" s="199">
        <v>48</v>
      </c>
      <c r="M70" s="199">
        <f t="shared" si="9"/>
        <v>402.45612544523675</v>
      </c>
      <c r="N70" s="199">
        <f t="shared" si="4"/>
        <v>440.69122960898414</v>
      </c>
      <c r="O70" s="199">
        <f t="shared" si="5"/>
        <v>402.45612544523675</v>
      </c>
    </row>
    <row r="71" spans="12:15" ht="12.75">
      <c r="L71" s="199">
        <v>49</v>
      </c>
      <c r="M71" s="199">
        <f t="shared" si="9"/>
        <v>404.137596311342</v>
      </c>
      <c r="N71" s="199">
        <f t="shared" si="4"/>
        <v>444.48275397042374</v>
      </c>
      <c r="O71" s="199">
        <f t="shared" si="5"/>
        <v>404.137596311342</v>
      </c>
    </row>
    <row r="72" spans="12:15" ht="12.75">
      <c r="L72" s="199">
        <v>50</v>
      </c>
      <c r="M72" s="199">
        <f t="shared" si="9"/>
        <v>405.81800581061793</v>
      </c>
      <c r="N72" s="199">
        <f t="shared" si="4"/>
        <v>448.27188507113493</v>
      </c>
      <c r="O72" s="199">
        <f t="shared" si="5"/>
        <v>405.81800581061793</v>
      </c>
    </row>
    <row r="73" spans="12:15" ht="12.75">
      <c r="L73" s="199">
        <v>51</v>
      </c>
      <c r="M73" s="199">
        <f t="shared" si="9"/>
        <v>407.49841523654186</v>
      </c>
      <c r="N73" s="199">
        <f t="shared" si="4"/>
        <v>452.0610160064457</v>
      </c>
      <c r="O73" s="199">
        <f t="shared" si="5"/>
        <v>407.49841523654186</v>
      </c>
    </row>
    <row r="74" spans="12:15" ht="12.75">
      <c r="L74" s="199">
        <v>52</v>
      </c>
      <c r="M74" s="199">
        <f t="shared" si="9"/>
        <v>409.1798861026472</v>
      </c>
      <c r="N74" s="199">
        <f t="shared" si="4"/>
        <v>455.85254036788535</v>
      </c>
      <c r="O74" s="199">
        <f t="shared" si="5"/>
        <v>409.1798861026472</v>
      </c>
    </row>
    <row r="75" spans="12:15" ht="12.75">
      <c r="L75" s="199">
        <v>53</v>
      </c>
      <c r="M75" s="199">
        <f t="shared" si="9"/>
        <v>410.863478578346</v>
      </c>
      <c r="N75" s="199">
        <f t="shared" si="4"/>
        <v>459.6488487161437</v>
      </c>
      <c r="O75" s="199">
        <f t="shared" si="5"/>
        <v>410.863478578346</v>
      </c>
    </row>
    <row r="76" spans="12:15" ht="12.75">
      <c r="L76" s="199">
        <v>54</v>
      </c>
      <c r="M76" s="199">
        <f t="shared" si="9"/>
        <v>412.5502624984773</v>
      </c>
      <c r="N76" s="199">
        <f t="shared" si="4"/>
        <v>463.45235340634156</v>
      </c>
      <c r="O76" s="199">
        <f t="shared" si="5"/>
        <v>412.5502624984773</v>
      </c>
    </row>
    <row r="77" spans="12:15" ht="12.75">
      <c r="L77" s="199">
        <v>55</v>
      </c>
      <c r="M77" s="199">
        <f t="shared" si="9"/>
        <v>414.2413221355935</v>
      </c>
      <c r="N77" s="199">
        <f t="shared" si="4"/>
        <v>467.2654993489914</v>
      </c>
      <c r="O77" s="199">
        <f t="shared" si="5"/>
        <v>414.2413221355935</v>
      </c>
    </row>
    <row r="78" spans="12:15" ht="12.75">
      <c r="L78" s="199">
        <v>56</v>
      </c>
      <c r="M78" s="199">
        <f t="shared" si="9"/>
        <v>415.9377611454838</v>
      </c>
      <c r="N78" s="199">
        <f aca="true" t="shared" si="10" ref="N78:N132">NORMINV(L78/100,$J$6,$J$7)</f>
        <v>471.0907751615864</v>
      </c>
      <c r="O78" s="199">
        <f aca="true" t="shared" si="11" ref="O78:O132">NORMINV(L78/100,$K$6,$K$7)</f>
        <v>415.9377611454838</v>
      </c>
    </row>
    <row r="79" spans="12:15" ht="12.75">
      <c r="L79" s="199">
        <v>57</v>
      </c>
      <c r="M79" s="199">
        <f t="shared" si="9"/>
        <v>417.6407077451301</v>
      </c>
      <c r="N79" s="199">
        <f t="shared" si="10"/>
        <v>474.93072484429786</v>
      </c>
      <c r="O79" s="199">
        <f t="shared" si="11"/>
        <v>417.6407077451301</v>
      </c>
    </row>
    <row r="80" spans="12:15" ht="12.75">
      <c r="L80" s="199">
        <v>58</v>
      </c>
      <c r="M80" s="199">
        <f t="shared" si="9"/>
        <v>419.35132018762516</v>
      </c>
      <c r="N80" s="199">
        <f t="shared" si="10"/>
        <v>478.7879601252901</v>
      </c>
      <c r="O80" s="199">
        <f t="shared" si="11"/>
        <v>419.35132018762516</v>
      </c>
    </row>
    <row r="81" spans="12:15" ht="12.75">
      <c r="L81" s="199">
        <v>59</v>
      </c>
      <c r="M81" s="199">
        <f t="shared" si="9"/>
        <v>421.07079260548034</v>
      </c>
      <c r="N81" s="199">
        <f t="shared" si="10"/>
        <v>482.6651736367095</v>
      </c>
      <c r="O81" s="199">
        <f t="shared" si="11"/>
        <v>421.07079260548034</v>
      </c>
    </row>
    <row r="82" spans="12:15" ht="12.75">
      <c r="L82" s="199">
        <v>60</v>
      </c>
      <c r="M82" s="199">
        <f t="shared" si="9"/>
        <v>422.8003613024783</v>
      </c>
      <c r="N82" s="199">
        <f t="shared" si="10"/>
        <v>486.56515310209295</v>
      </c>
      <c r="O82" s="199">
        <f t="shared" si="11"/>
        <v>422.8003613024783</v>
      </c>
    </row>
    <row r="83" spans="12:15" ht="12.75">
      <c r="L83" s="199">
        <v>61</v>
      </c>
      <c r="M83" s="199">
        <f t="shared" si="9"/>
        <v>424.5413115851185</v>
      </c>
      <c r="N83" s="199">
        <f t="shared" si="10"/>
        <v>490.49079674049557</v>
      </c>
      <c r="O83" s="199">
        <f t="shared" si="11"/>
        <v>424.5413115851185</v>
      </c>
    </row>
    <row r="84" spans="12:15" ht="12.75">
      <c r="L84" s="199">
        <v>62</v>
      </c>
      <c r="M84" s="199">
        <f t="shared" si="9"/>
        <v>426.29498523820627</v>
      </c>
      <c r="N84" s="199">
        <f t="shared" si="10"/>
        <v>494.4451301230883</v>
      </c>
      <c r="O84" s="199">
        <f t="shared" si="11"/>
        <v>426.29498523820627</v>
      </c>
    </row>
    <row r="85" spans="12:15" ht="12.75">
      <c r="L85" s="199">
        <v>63</v>
      </c>
      <c r="M85" s="199">
        <f aca="true" t="shared" si="12" ref="M85:M116">NORMINV(L85/100,$K$6,$K$7)</f>
        <v>428.0627887658053</v>
      </c>
      <c r="N85" s="199">
        <f t="shared" si="10"/>
        <v>498.4313247555625</v>
      </c>
      <c r="O85" s="199">
        <f t="shared" si="11"/>
        <v>428.0627887658053</v>
      </c>
    </row>
    <row r="86" spans="12:15" ht="12.75">
      <c r="L86" s="199">
        <v>64</v>
      </c>
      <c r="M86" s="199">
        <f t="shared" si="12"/>
        <v>429.84620253934185</v>
      </c>
      <c r="N86" s="199">
        <f t="shared" si="10"/>
        <v>502.45271870605836</v>
      </c>
      <c r="O86" s="199">
        <f t="shared" si="11"/>
        <v>429.84620253934185</v>
      </c>
    </row>
    <row r="87" spans="12:15" ht="12.75">
      <c r="L87" s="199">
        <v>65</v>
      </c>
      <c r="M87" s="199">
        <f t="shared" si="12"/>
        <v>431.6467910200379</v>
      </c>
      <c r="N87" s="199">
        <f t="shared" si="10"/>
        <v>506.5128396555813</v>
      </c>
      <c r="O87" s="199">
        <f t="shared" si="11"/>
        <v>431.6467910200379</v>
      </c>
    </row>
    <row r="88" spans="12:15" ht="12.75">
      <c r="L88" s="199">
        <v>66</v>
      </c>
      <c r="M88" s="199">
        <f t="shared" si="12"/>
        <v>433.4662142542721</v>
      </c>
      <c r="N88" s="199">
        <f t="shared" si="10"/>
        <v>510.6154308187257</v>
      </c>
      <c r="O88" s="199">
        <f t="shared" si="11"/>
        <v>433.4662142542721</v>
      </c>
    </row>
    <row r="89" spans="12:15" ht="12.75">
      <c r="L89" s="199">
        <v>67</v>
      </c>
      <c r="M89" s="199">
        <f t="shared" si="12"/>
        <v>435.306240879485</v>
      </c>
      <c r="N89" s="199">
        <f t="shared" si="10"/>
        <v>514.7644802705022</v>
      </c>
      <c r="O89" s="199">
        <f t="shared" si="11"/>
        <v>435.306240879485</v>
      </c>
    </row>
    <row r="90" spans="12:15" ht="12.75">
      <c r="L90" s="199">
        <v>68</v>
      </c>
      <c r="M90" s="199">
        <f t="shared" si="12"/>
        <v>437.168762926895</v>
      </c>
      <c r="N90" s="199">
        <f t="shared" si="10"/>
        <v>518.9642543247684</v>
      </c>
      <c r="O90" s="199">
        <f t="shared" si="11"/>
        <v>437.168762926895</v>
      </c>
    </row>
    <row r="91" spans="12:15" ht="12.75">
      <c r="L91" s="199">
        <v>69</v>
      </c>
      <c r="M91" s="199">
        <f t="shared" si="12"/>
        <v>439.055812768275</v>
      </c>
      <c r="N91" s="199">
        <f t="shared" si="10"/>
        <v>523.2193357472706</v>
      </c>
      <c r="O91" s="199">
        <f t="shared" si="11"/>
        <v>439.055812768275</v>
      </c>
    </row>
    <row r="92" spans="12:15" ht="12.75">
      <c r="L92" s="199">
        <v>70</v>
      </c>
      <c r="M92" s="199">
        <f t="shared" si="12"/>
        <v>440.96958263090596</v>
      </c>
      <c r="N92" s="199">
        <f t="shared" si="10"/>
        <v>527.5346677596302</v>
      </c>
      <c r="O92" s="199">
        <f t="shared" si="11"/>
        <v>440.96958263090596</v>
      </c>
    </row>
    <row r="93" spans="12:15" ht="12.75">
      <c r="L93" s="199">
        <v>71</v>
      </c>
      <c r="M93" s="199">
        <f t="shared" si="12"/>
        <v>442.9124472023367</v>
      </c>
      <c r="N93" s="199">
        <f t="shared" si="10"/>
        <v>531.9156050104908</v>
      </c>
      <c r="O93" s="199">
        <f t="shared" si="11"/>
        <v>442.9124472023367</v>
      </c>
    </row>
    <row r="94" spans="12:15" ht="12.75">
      <c r="L94" s="199">
        <v>72</v>
      </c>
      <c r="M94" s="199">
        <f t="shared" si="12"/>
        <v>444.88698997114335</v>
      </c>
      <c r="N94" s="199">
        <f t="shared" si="10"/>
        <v>536.3679729709157</v>
      </c>
      <c r="O94" s="199">
        <f t="shared" si="11"/>
        <v>444.88698997114335</v>
      </c>
    </row>
    <row r="95" spans="12:15" ht="12.75">
      <c r="L95" s="199">
        <v>73</v>
      </c>
      <c r="M95" s="199">
        <f t="shared" si="12"/>
        <v>446.89603411021045</v>
      </c>
      <c r="N95" s="199">
        <f t="shared" si="10"/>
        <v>540.8981375726516</v>
      </c>
      <c r="O95" s="199">
        <f t="shared" si="11"/>
        <v>446.89603411021045</v>
      </c>
    </row>
    <row r="96" spans="12:15" ht="12.75">
      <c r="L96" s="199">
        <v>74</v>
      </c>
      <c r="M96" s="199">
        <f t="shared" si="12"/>
        <v>448.9426789170931</v>
      </c>
      <c r="N96" s="199">
        <f t="shared" si="10"/>
        <v>545.5130873769758</v>
      </c>
      <c r="O96" s="199">
        <f t="shared" si="11"/>
        <v>448.9426789170931</v>
      </c>
    </row>
    <row r="97" spans="12:15" ht="12.75">
      <c r="L97" s="199">
        <v>75</v>
      </c>
      <c r="M97" s="199">
        <f t="shared" si="12"/>
        <v>451.03034309837506</v>
      </c>
      <c r="N97" s="199">
        <f t="shared" si="10"/>
        <v>550.2205311759694</v>
      </c>
      <c r="O97" s="199">
        <f t="shared" si="11"/>
        <v>451.03034309837506</v>
      </c>
    </row>
    <row r="98" spans="12:15" ht="12.75">
      <c r="L98" s="199">
        <v>76</v>
      </c>
      <c r="M98" s="199">
        <f t="shared" si="12"/>
        <v>453.1628165448623</v>
      </c>
      <c r="N98" s="199">
        <f t="shared" si="10"/>
        <v>555.0290147396527</v>
      </c>
      <c r="O98" s="199">
        <f t="shared" si="11"/>
        <v>453.1628165448623</v>
      </c>
    </row>
    <row r="99" spans="12:15" ht="12.75">
      <c r="L99" s="199">
        <v>77</v>
      </c>
      <c r="M99" s="199">
        <f t="shared" si="12"/>
        <v>455.34432272501994</v>
      </c>
      <c r="N99" s="199">
        <f t="shared" si="10"/>
        <v>559.9480615060454</v>
      </c>
      <c r="O99" s="199">
        <f t="shared" si="11"/>
        <v>455.34432272501994</v>
      </c>
    </row>
    <row r="100" spans="12:15" ht="12.75">
      <c r="L100" s="199">
        <v>78</v>
      </c>
      <c r="M100" s="199">
        <f t="shared" si="12"/>
        <v>457.57959447283656</v>
      </c>
      <c r="N100" s="199">
        <f t="shared" si="10"/>
        <v>564.9883434741267</v>
      </c>
      <c r="O100" s="199">
        <f t="shared" si="11"/>
        <v>457.57959447283656</v>
      </c>
    </row>
    <row r="101" spans="12:15" ht="12.75">
      <c r="L101" s="199">
        <v>79</v>
      </c>
      <c r="M101" s="199">
        <f t="shared" si="12"/>
        <v>459.8739668327044</v>
      </c>
      <c r="N101" s="199">
        <f t="shared" si="10"/>
        <v>570.1618905584138</v>
      </c>
      <c r="O101" s="199">
        <f t="shared" si="11"/>
        <v>459.8739668327044</v>
      </c>
    </row>
    <row r="102" spans="12:15" ht="12.75">
      <c r="L102" s="199">
        <v>80</v>
      </c>
      <c r="M102" s="199">
        <f t="shared" si="12"/>
        <v>462.23349185082225</v>
      </c>
      <c r="N102" s="199">
        <f t="shared" si="10"/>
        <v>575.4823494304379</v>
      </c>
      <c r="O102" s="199">
        <f t="shared" si="11"/>
        <v>462.23349185082225</v>
      </c>
    </row>
    <row r="103" spans="12:15" ht="12.75">
      <c r="L103" s="199">
        <v>81</v>
      </c>
      <c r="M103" s="199">
        <f t="shared" si="12"/>
        <v>464.66508192506166</v>
      </c>
      <c r="N103" s="199">
        <f t="shared" si="10"/>
        <v>580.965306756287</v>
      </c>
      <c r="O103" s="199">
        <f t="shared" si="11"/>
        <v>464.66508192506166</v>
      </c>
    </row>
    <row r="104" spans="12:15" ht="12.75">
      <c r="L104" s="199">
        <v>82</v>
      </c>
      <c r="M104" s="199">
        <f t="shared" si="12"/>
        <v>467.17669078098345</v>
      </c>
      <c r="N104" s="199">
        <f t="shared" si="10"/>
        <v>586.6286972768092</v>
      </c>
      <c r="O104" s="199">
        <f t="shared" si="11"/>
        <v>467.17669078098345</v>
      </c>
    </row>
    <row r="105" spans="12:15" ht="12.75">
      <c r="L105" s="199">
        <v>83</v>
      </c>
      <c r="M105" s="199">
        <f t="shared" si="12"/>
        <v>469.77754470285134</v>
      </c>
      <c r="N105" s="199">
        <f t="shared" si="10"/>
        <v>592.4933252070862</v>
      </c>
      <c r="O105" s="199">
        <f t="shared" si="11"/>
        <v>469.77754470285134</v>
      </c>
    </row>
    <row r="106" spans="12:15" ht="12.75">
      <c r="L106" s="199">
        <v>84</v>
      </c>
      <c r="M106" s="199">
        <f t="shared" si="12"/>
        <v>472.4784419100687</v>
      </c>
      <c r="N106" s="199">
        <f t="shared" si="10"/>
        <v>598.5835392960335</v>
      </c>
      <c r="O106" s="199">
        <f t="shared" si="11"/>
        <v>472.4784419100687</v>
      </c>
    </row>
    <row r="107" spans="12:15" ht="12.75">
      <c r="L107" s="199">
        <v>85</v>
      </c>
      <c r="M107" s="199">
        <f t="shared" si="12"/>
        <v>475.29214590605267</v>
      </c>
      <c r="N107" s="199">
        <f t="shared" si="10"/>
        <v>604.9281197830946</v>
      </c>
      <c r="O107" s="199">
        <f t="shared" si="11"/>
        <v>475.29214590605267</v>
      </c>
    </row>
    <row r="108" spans="12:15" ht="12.75">
      <c r="L108" s="199">
        <v>86</v>
      </c>
      <c r="M108" s="199">
        <f t="shared" si="12"/>
        <v>478.2339108774656</v>
      </c>
      <c r="N108" s="199">
        <f t="shared" si="10"/>
        <v>611.5614631133758</v>
      </c>
      <c r="O108" s="199">
        <f t="shared" si="11"/>
        <v>478.2339108774656</v>
      </c>
    </row>
    <row r="109" spans="12:15" ht="12.75">
      <c r="L109" s="199">
        <v>87</v>
      </c>
      <c r="M109" s="199">
        <f t="shared" si="12"/>
        <v>481.32219662766755</v>
      </c>
      <c r="N109" s="199">
        <f t="shared" si="10"/>
        <v>618.5251940307597</v>
      </c>
      <c r="O109" s="199">
        <f t="shared" si="11"/>
        <v>481.32219662766755</v>
      </c>
    </row>
    <row r="110" spans="12:15" ht="12.75">
      <c r="L110" s="199">
        <v>88</v>
      </c>
      <c r="M110" s="199">
        <f t="shared" si="12"/>
        <v>484.57966217926963</v>
      </c>
      <c r="N110" s="199">
        <f t="shared" si="10"/>
        <v>625.8704060379456</v>
      </c>
      <c r="O110" s="199">
        <f t="shared" si="11"/>
        <v>484.57966217926963</v>
      </c>
    </row>
    <row r="111" spans="12:15" ht="12.75">
      <c r="L111" s="199">
        <v>89</v>
      </c>
      <c r="M111" s="199">
        <f t="shared" si="12"/>
        <v>488.034580549878</v>
      </c>
      <c r="N111" s="199">
        <f t="shared" si="10"/>
        <v>633.660851553834</v>
      </c>
      <c r="O111" s="199">
        <f t="shared" si="11"/>
        <v>488.034580549878</v>
      </c>
    </row>
    <row r="112" spans="12:15" ht="12.75">
      <c r="L112" s="199">
        <v>90</v>
      </c>
      <c r="M112" s="199">
        <f t="shared" si="12"/>
        <v>491.72291070588795</v>
      </c>
      <c r="N112" s="199">
        <f t="shared" si="10"/>
        <v>641.9776139322009</v>
      </c>
      <c r="O112" s="199">
        <f t="shared" si="11"/>
        <v>491.72291070588795</v>
      </c>
    </row>
    <row r="113" spans="12:15" ht="12.75">
      <c r="L113" s="199">
        <v>91</v>
      </c>
      <c r="M113" s="199">
        <f t="shared" si="12"/>
        <v>495.6914339678945</v>
      </c>
      <c r="N113" s="199">
        <f t="shared" si="10"/>
        <v>650.9261796969411</v>
      </c>
      <c r="O113" s="199">
        <f t="shared" si="11"/>
        <v>495.6914339678945</v>
      </c>
    </row>
    <row r="114" spans="12:15" ht="12.75">
      <c r="L114" s="199">
        <v>92</v>
      </c>
      <c r="M114" s="199">
        <f t="shared" si="12"/>
        <v>500.00269277831</v>
      </c>
      <c r="N114" s="199">
        <f t="shared" si="10"/>
        <v>660.6475748978129</v>
      </c>
      <c r="O114" s="199">
        <f t="shared" si="11"/>
        <v>500.00269277831</v>
      </c>
    </row>
    <row r="115" spans="12:15" ht="12.75">
      <c r="L115" s="199">
        <v>93</v>
      </c>
      <c r="M115" s="199">
        <f t="shared" si="12"/>
        <v>504.7431495460036</v>
      </c>
      <c r="N115" s="199">
        <f t="shared" si="10"/>
        <v>671.336762371333</v>
      </c>
      <c r="O115" s="199">
        <f t="shared" si="11"/>
        <v>504.7431495460036</v>
      </c>
    </row>
    <row r="116" spans="12:15" ht="12.75">
      <c r="L116" s="199">
        <v>94</v>
      </c>
      <c r="M116" s="199">
        <f t="shared" si="12"/>
        <v>510.03749309410665</v>
      </c>
      <c r="N116" s="199">
        <f t="shared" si="10"/>
        <v>683.2749011432281</v>
      </c>
      <c r="O116" s="199">
        <f t="shared" si="11"/>
        <v>510.03749309410665</v>
      </c>
    </row>
    <row r="117" spans="12:15" ht="12.75">
      <c r="L117" s="199">
        <v>95</v>
      </c>
      <c r="M117" s="199">
        <f aca="true" t="shared" si="13" ref="M117:M132">NORMINV(L117/100,$K$6,$K$7)</f>
        <v>516.0757152878247</v>
      </c>
      <c r="N117" s="199">
        <f t="shared" si="10"/>
        <v>696.890401125274</v>
      </c>
      <c r="O117" s="199">
        <f t="shared" si="11"/>
        <v>516.0757152878247</v>
      </c>
    </row>
    <row r="118" spans="12:15" ht="12.75">
      <c r="L118" s="199">
        <v>96</v>
      </c>
      <c r="M118" s="199">
        <f t="shared" si="13"/>
        <v>523.1698450422655</v>
      </c>
      <c r="N118" s="199">
        <f t="shared" si="10"/>
        <v>712.8868518098332</v>
      </c>
      <c r="O118" s="199">
        <f t="shared" si="11"/>
        <v>523.1698450422655</v>
      </c>
    </row>
    <row r="119" spans="12:15" ht="12.75">
      <c r="L119" s="199">
        <v>97</v>
      </c>
      <c r="M119" s="199">
        <f t="shared" si="13"/>
        <v>531.8911744427296</v>
      </c>
      <c r="N119" s="199">
        <f t="shared" si="10"/>
        <v>732.5524514658008</v>
      </c>
      <c r="O119" s="199">
        <f t="shared" si="11"/>
        <v>531.8911744427296</v>
      </c>
    </row>
    <row r="120" spans="12:15" ht="12.75">
      <c r="L120" s="199">
        <v>98</v>
      </c>
      <c r="M120" s="199">
        <f t="shared" si="13"/>
        <v>543.4846737834599</v>
      </c>
      <c r="N120" s="199">
        <f t="shared" si="10"/>
        <v>758.6944656218529</v>
      </c>
      <c r="O120" s="199">
        <f t="shared" si="11"/>
        <v>543.4846737834599</v>
      </c>
    </row>
    <row r="121" spans="12:15" ht="12.75">
      <c r="L121" s="199">
        <v>99</v>
      </c>
      <c r="M121" s="199">
        <f t="shared" si="13"/>
        <v>561.7575441833226</v>
      </c>
      <c r="N121" s="199">
        <f t="shared" si="10"/>
        <v>799.8976970730068</v>
      </c>
      <c r="O121" s="199">
        <f t="shared" si="11"/>
        <v>561.7575441833226</v>
      </c>
    </row>
    <row r="122" spans="12:15" ht="12.75">
      <c r="L122" s="199">
        <v>99.1</v>
      </c>
      <c r="M122" s="199">
        <f t="shared" si="13"/>
        <v>564.3899233055392</v>
      </c>
      <c r="N122" s="199">
        <f t="shared" si="10"/>
        <v>805.8334107220621</v>
      </c>
      <c r="O122" s="199">
        <f t="shared" si="11"/>
        <v>564.3899233055392</v>
      </c>
    </row>
    <row r="123" spans="12:15" ht="12.75">
      <c r="L123" s="199">
        <v>99.2</v>
      </c>
      <c r="M123" s="199">
        <f t="shared" si="13"/>
        <v>567.2922579516072</v>
      </c>
      <c r="N123" s="199">
        <f t="shared" si="10"/>
        <v>812.3778431814276</v>
      </c>
      <c r="O123" s="199">
        <f t="shared" si="11"/>
        <v>567.2922579516072</v>
      </c>
    </row>
    <row r="124" spans="12:15" ht="12.75">
      <c r="L124" s="199">
        <v>99.3</v>
      </c>
      <c r="M124" s="199">
        <f t="shared" si="13"/>
        <v>570.5331418974042</v>
      </c>
      <c r="N124" s="199">
        <f t="shared" si="10"/>
        <v>819.6856655652612</v>
      </c>
      <c r="O124" s="199">
        <f t="shared" si="11"/>
        <v>570.5331418974042</v>
      </c>
    </row>
    <row r="125" spans="12:15" ht="12.75">
      <c r="L125" s="199">
        <v>99.4</v>
      </c>
      <c r="M125" s="199">
        <f t="shared" si="13"/>
        <v>574.2119655298707</v>
      </c>
      <c r="N125" s="199">
        <f t="shared" si="10"/>
        <v>827.9809918210436</v>
      </c>
      <c r="O125" s="199">
        <f t="shared" si="11"/>
        <v>574.2119655298707</v>
      </c>
    </row>
    <row r="126" spans="12:15" ht="12.75">
      <c r="L126" s="199">
        <v>99.5</v>
      </c>
      <c r="M126" s="199">
        <f t="shared" si="13"/>
        <v>578.4809618343054</v>
      </c>
      <c r="N126" s="199">
        <f t="shared" si="10"/>
        <v>837.6070899078043</v>
      </c>
      <c r="O126" s="199">
        <f t="shared" si="11"/>
        <v>578.4809618343054</v>
      </c>
    </row>
    <row r="127" spans="12:15" ht="12.75">
      <c r="L127" s="199">
        <v>99.6</v>
      </c>
      <c r="M127" s="199">
        <f t="shared" si="13"/>
        <v>583.591613555481</v>
      </c>
      <c r="N127" s="199">
        <f t="shared" si="10"/>
        <v>849.1310246332114</v>
      </c>
      <c r="O127" s="199">
        <f t="shared" si="11"/>
        <v>583.591613555481</v>
      </c>
    </row>
    <row r="128" spans="12:15" ht="12.75">
      <c r="L128" s="199">
        <v>99.7</v>
      </c>
      <c r="M128" s="199">
        <f t="shared" si="13"/>
        <v>590.0075098199213</v>
      </c>
      <c r="N128" s="199">
        <f t="shared" si="10"/>
        <v>863.598136420548</v>
      </c>
      <c r="O128" s="199">
        <f t="shared" si="11"/>
        <v>590.0075098199213</v>
      </c>
    </row>
    <row r="129" spans="12:15" ht="12.75">
      <c r="L129" s="199">
        <v>99.8000000000001</v>
      </c>
      <c r="M129" s="199">
        <f t="shared" si="13"/>
        <v>598.7474488935316</v>
      </c>
      <c r="N129" s="199">
        <f t="shared" si="10"/>
        <v>883.305698759613</v>
      </c>
      <c r="O129" s="199">
        <f t="shared" si="11"/>
        <v>598.7474488935316</v>
      </c>
    </row>
    <row r="130" spans="12:15" ht="12.75">
      <c r="L130" s="199">
        <v>99.9000000000001</v>
      </c>
      <c r="M130" s="199">
        <f t="shared" si="13"/>
        <v>612.9636127085147</v>
      </c>
      <c r="N130" s="199">
        <f t="shared" si="10"/>
        <v>915.3615211453873</v>
      </c>
      <c r="O130" s="199">
        <f t="shared" si="11"/>
        <v>612.9636127085147</v>
      </c>
    </row>
    <row r="131" spans="12:15" ht="12.75">
      <c r="L131" s="199">
        <v>99.99</v>
      </c>
      <c r="M131" s="199">
        <f t="shared" si="13"/>
        <v>655.1158191607382</v>
      </c>
      <c r="N131" s="199">
        <f t="shared" si="10"/>
        <v>1010.4099224431307</v>
      </c>
      <c r="O131" s="199">
        <f t="shared" si="11"/>
        <v>655.1158191607382</v>
      </c>
    </row>
    <row r="132" spans="12:15" ht="12.75">
      <c r="L132" s="199">
        <v>99.999</v>
      </c>
      <c r="M132" s="199">
        <f t="shared" si="13"/>
        <v>691.7121110115368</v>
      </c>
      <c r="N132" s="199">
        <f t="shared" si="10"/>
        <v>1092.9303721801227</v>
      </c>
      <c r="O132" s="199">
        <f t="shared" si="11"/>
        <v>691.7121110115368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S109"/>
  <sheetViews>
    <sheetView workbookViewId="0" topLeftCell="A1">
      <selection activeCell="C11" sqref="C11"/>
    </sheetView>
  </sheetViews>
  <sheetFormatPr defaultColWidth="9.140625" defaultRowHeight="12.75"/>
  <cols>
    <col min="1" max="2" width="8.8515625" style="199" customWidth="1"/>
    <col min="3" max="3" width="10.421875" style="199" customWidth="1"/>
    <col min="4" max="16384" width="8.8515625" style="199" customWidth="1"/>
  </cols>
  <sheetData>
    <row r="1" spans="1:12" ht="12.75">
      <c r="A1" s="199">
        <v>1</v>
      </c>
      <c r="B1" s="199">
        <v>2</v>
      </c>
      <c r="C1" s="199">
        <v>3</v>
      </c>
      <c r="D1" s="199">
        <v>4</v>
      </c>
      <c r="E1" s="199">
        <v>5</v>
      </c>
      <c r="F1" s="199">
        <v>6</v>
      </c>
      <c r="G1" s="199">
        <v>7</v>
      </c>
      <c r="H1" s="199">
        <v>8</v>
      </c>
      <c r="I1" s="199">
        <v>9</v>
      </c>
      <c r="J1" s="199">
        <v>10</v>
      </c>
      <c r="K1" s="199">
        <v>11</v>
      </c>
      <c r="L1" s="199">
        <v>12</v>
      </c>
    </row>
    <row r="3" ht="12.75">
      <c r="Q3" s="199">
        <f>MIN($F$10)</f>
        <v>1.9974138942936104</v>
      </c>
    </row>
    <row r="4" ht="13.5" thickBot="1">
      <c r="Q4" s="199">
        <f>COUNT($F$8:$G$9)</f>
        <v>4</v>
      </c>
    </row>
    <row r="5" spans="2:17" ht="12.75">
      <c r="B5" s="245" t="s">
        <v>361</v>
      </c>
      <c r="C5" s="246"/>
      <c r="E5" s="236" t="s">
        <v>350</v>
      </c>
      <c r="F5" s="237"/>
      <c r="G5" s="237"/>
      <c r="Q5" s="199" t="b">
        <f>$F$41=0</f>
        <v>0</v>
      </c>
    </row>
    <row r="6" spans="2:17" ht="13.5" thickBot="1">
      <c r="B6" s="247"/>
      <c r="C6" s="248"/>
      <c r="E6" s="237"/>
      <c r="F6" s="237" t="s">
        <v>351</v>
      </c>
      <c r="G6" s="237" t="s">
        <v>352</v>
      </c>
      <c r="Q6" s="199">
        <f>{100,100,0.001,0.05,FALSE,FALSE,FALSE,1,1,1,0.0001,FALSE}</f>
        <v>100</v>
      </c>
    </row>
    <row r="7" spans="2:7" ht="12.75">
      <c r="B7" s="249" t="s">
        <v>354</v>
      </c>
      <c r="C7" s="250"/>
      <c r="E7" s="237"/>
      <c r="F7" s="239">
        <v>0.3</v>
      </c>
      <c r="G7" s="239">
        <v>0.7</v>
      </c>
    </row>
    <row r="8" spans="2:7" ht="13.5" thickBot="1">
      <c r="B8" s="251"/>
      <c r="C8" s="252"/>
      <c r="E8" s="239">
        <v>0.5</v>
      </c>
      <c r="F8" s="237">
        <v>447.51665026071004</v>
      </c>
      <c r="G8" s="237">
        <v>405.97815645580965</v>
      </c>
    </row>
    <row r="9" spans="2:19" ht="12.75">
      <c r="B9" s="251" t="s">
        <v>2</v>
      </c>
      <c r="C9" s="252" t="s">
        <v>359</v>
      </c>
      <c r="E9" s="237" t="s">
        <v>353</v>
      </c>
      <c r="F9" s="237">
        <v>150.63414007912408</v>
      </c>
      <c r="G9" s="237">
        <v>66.86179081627958</v>
      </c>
      <c r="K9" s="219" t="s">
        <v>364</v>
      </c>
      <c r="L9" s="221"/>
      <c r="Q9" s="199" t="s">
        <v>365</v>
      </c>
      <c r="S9" s="199">
        <f>(SUM(S12:S42))^0.5</f>
        <v>91.50422167258155</v>
      </c>
    </row>
    <row r="10" spans="2:12" ht="13.5" thickBot="1">
      <c r="B10" s="251"/>
      <c r="C10" s="252"/>
      <c r="E10" s="199" t="s">
        <v>362</v>
      </c>
      <c r="F10" s="199">
        <f>(SUM(I11:I109))^0.5</f>
        <v>1.9974138942936104</v>
      </c>
      <c r="H10" s="199" t="s">
        <v>358</v>
      </c>
      <c r="K10" s="253"/>
      <c r="L10" s="254"/>
    </row>
    <row r="11" spans="2:18" ht="13.5" thickBot="1">
      <c r="B11" s="251">
        <v>1</v>
      </c>
      <c r="C11" s="251">
        <f>'Input-output'!H17</f>
        <v>96.64607290386203</v>
      </c>
      <c r="H11" s="255">
        <f aca="true" t="shared" si="0" ref="H11:H40">NORMINV(B11/100,$F$8,$F$9)</f>
        <v>97.08937040023761</v>
      </c>
      <c r="I11" s="199">
        <f aca="true" t="shared" si="1" ref="I11:I42">(C11-H11)^2</f>
        <v>0.19651267029285582</v>
      </c>
      <c r="K11" s="256" t="s">
        <v>363</v>
      </c>
      <c r="L11" s="257" t="s">
        <v>356</v>
      </c>
      <c r="N11" s="199" t="s">
        <v>357</v>
      </c>
      <c r="P11" s="235"/>
      <c r="Q11" s="235"/>
      <c r="R11" s="235" t="s">
        <v>48</v>
      </c>
    </row>
    <row r="12" spans="2:19" ht="12.75">
      <c r="B12" s="251">
        <v>2</v>
      </c>
      <c r="C12" s="251">
        <f>'Input-output'!H18</f>
        <v>137.84930435501627</v>
      </c>
      <c r="H12" s="255">
        <f t="shared" si="0"/>
        <v>138.1521588038849</v>
      </c>
      <c r="I12" s="199">
        <f t="shared" si="1"/>
        <v>0.09172081719952122</v>
      </c>
      <c r="K12" s="258">
        <v>1</v>
      </c>
      <c r="L12" s="259">
        <f aca="true" t="shared" si="2" ref="L12:L18">NORMINV(N12/100,$F$8,$F$9)</f>
        <v>314.0927919523955</v>
      </c>
      <c r="N12" s="199">
        <f>data!F12</f>
        <v>18.7876683014362</v>
      </c>
      <c r="P12" s="235">
        <f aca="true" t="shared" si="3" ref="P12:P42">K12</f>
        <v>1</v>
      </c>
      <c r="Q12" s="235">
        <f>'[1]Input-output'!C8</f>
        <v>346.46</v>
      </c>
      <c r="R12" s="260">
        <f aca="true" t="shared" si="4" ref="R12:R42">L12-Q12</f>
        <v>-32.36720804760449</v>
      </c>
      <c r="S12" s="199">
        <f aca="true" t="shared" si="5" ref="S12:S42">R12^2</f>
        <v>1047.636156796913</v>
      </c>
    </row>
    <row r="13" spans="2:19" ht="12.75">
      <c r="B13" s="251">
        <v>3</v>
      </c>
      <c r="C13" s="251">
        <f>'Input-output'!H19</f>
        <v>163.99131851106858</v>
      </c>
      <c r="H13" s="255">
        <f t="shared" si="0"/>
        <v>164.2050667416446</v>
      </c>
      <c r="I13" s="199">
        <f t="shared" si="1"/>
        <v>0.045688306074377655</v>
      </c>
      <c r="K13" s="258">
        <v>2</v>
      </c>
      <c r="L13" s="259">
        <f t="shared" si="2"/>
        <v>318.01445586825326</v>
      </c>
      <c r="N13" s="199">
        <f>data!F13</f>
        <v>19.497346486749045</v>
      </c>
      <c r="P13" s="235">
        <f t="shared" si="3"/>
        <v>2</v>
      </c>
      <c r="Q13" s="235">
        <f>'[1]Input-output'!C9</f>
        <v>349.16</v>
      </c>
      <c r="R13" s="260">
        <f t="shared" si="4"/>
        <v>-31.14554413174676</v>
      </c>
      <c r="S13" s="199">
        <f t="shared" si="5"/>
        <v>970.044919262585</v>
      </c>
    </row>
    <row r="14" spans="2:19" ht="12.75">
      <c r="B14" s="251">
        <v>4</v>
      </c>
      <c r="C14" s="251">
        <f>'Input-output'!H20</f>
        <v>183.65691816703622</v>
      </c>
      <c r="H14" s="255">
        <f t="shared" si="0"/>
        <v>183.8036353262748</v>
      </c>
      <c r="I14" s="199">
        <f t="shared" si="1"/>
        <v>0.02152592481503372</v>
      </c>
      <c r="K14" s="258">
        <v>3</v>
      </c>
      <c r="L14" s="259">
        <f t="shared" si="2"/>
        <v>321.78831389008576</v>
      </c>
      <c r="N14" s="199">
        <f>data!F14</f>
        <v>20.195444476759704</v>
      </c>
      <c r="P14" s="235">
        <f t="shared" si="3"/>
        <v>3</v>
      </c>
      <c r="Q14" s="235">
        <f>'[1]Input-output'!C10</f>
        <v>353.3</v>
      </c>
      <c r="R14" s="260">
        <f t="shared" si="4"/>
        <v>-31.51168610991425</v>
      </c>
      <c r="S14" s="199">
        <f t="shared" si="5"/>
        <v>992.9863614897628</v>
      </c>
    </row>
    <row r="15" spans="2:19" ht="12.75">
      <c r="B15" s="251">
        <v>5</v>
      </c>
      <c r="C15" s="251">
        <f>'Input-output'!H21</f>
        <v>199.65336885159542</v>
      </c>
      <c r="H15" s="255">
        <f t="shared" si="0"/>
        <v>199.74556139700366</v>
      </c>
      <c r="I15" s="199">
        <f t="shared" si="1"/>
        <v>0.008499465428850099</v>
      </c>
      <c r="K15" s="258">
        <v>4</v>
      </c>
      <c r="L15" s="259">
        <f t="shared" si="2"/>
        <v>325.4262909126014</v>
      </c>
      <c r="N15" s="199">
        <f>data!F15</f>
        <v>20.882372192292856</v>
      </c>
      <c r="P15" s="235">
        <f t="shared" si="3"/>
        <v>4</v>
      </c>
      <c r="Q15" s="235">
        <f>'[1]Input-output'!C11</f>
        <v>355.46</v>
      </c>
      <c r="R15" s="260">
        <f t="shared" si="4"/>
        <v>-30.033709087398563</v>
      </c>
      <c r="S15" s="199">
        <f t="shared" si="5"/>
        <v>902.0236815464871</v>
      </c>
    </row>
    <row r="16" spans="2:19" ht="12.75">
      <c r="B16" s="251">
        <v>6</v>
      </c>
      <c r="C16" s="251">
        <f>'Input-output'!H22</f>
        <v>213.2688688336414</v>
      </c>
      <c r="H16" s="255">
        <f t="shared" si="0"/>
        <v>213.31465234161584</v>
      </c>
      <c r="I16" s="199">
        <f t="shared" si="1"/>
        <v>0.0020961296024463814</v>
      </c>
      <c r="K16" s="258">
        <v>5</v>
      </c>
      <c r="L16" s="259">
        <f t="shared" si="2"/>
        <v>328.9390324109465</v>
      </c>
      <c r="N16" s="199">
        <f>data!F16</f>
        <v>21.558539554173183</v>
      </c>
      <c r="P16" s="235">
        <f t="shared" si="3"/>
        <v>5</v>
      </c>
      <c r="Q16" s="235">
        <f>'[1]Input-output'!C12</f>
        <v>357.62</v>
      </c>
      <c r="R16" s="260">
        <f t="shared" si="4"/>
        <v>-28.680967589053523</v>
      </c>
      <c r="S16" s="199">
        <f t="shared" si="5"/>
        <v>822.5979018443387</v>
      </c>
    </row>
    <row r="17" spans="2:19" ht="12.75">
      <c r="B17" s="251">
        <v>7</v>
      </c>
      <c r="C17" s="251">
        <f>'Input-output'!H23</f>
        <v>225.2070076055366</v>
      </c>
      <c r="H17" s="255">
        <f t="shared" si="0"/>
        <v>225.21209943638684</v>
      </c>
      <c r="I17" s="199">
        <f t="shared" si="1"/>
        <v>2.5926741407386926E-05</v>
      </c>
      <c r="K17" s="258">
        <v>10</v>
      </c>
      <c r="L17" s="259">
        <f t="shared" si="2"/>
        <v>344.92885394348156</v>
      </c>
      <c r="N17" s="199">
        <f>data!F17</f>
        <v>24.792318287646356</v>
      </c>
      <c r="P17" s="235">
        <f t="shared" si="3"/>
        <v>10</v>
      </c>
      <c r="Q17" s="235">
        <f>'[1]Input-output'!C13</f>
        <v>364.1</v>
      </c>
      <c r="R17" s="260">
        <f t="shared" si="4"/>
        <v>-19.171146056518467</v>
      </c>
      <c r="S17" s="199">
        <f t="shared" si="5"/>
        <v>367.53284112036357</v>
      </c>
    </row>
    <row r="18" spans="2:19" ht="12.75">
      <c r="B18" s="251">
        <v>8</v>
      </c>
      <c r="C18" s="251">
        <f>'Input-output'!H24</f>
        <v>235.89619507905675</v>
      </c>
      <c r="H18" s="255">
        <f t="shared" si="0"/>
        <v>235.86485233884827</v>
      </c>
      <c r="I18" s="199">
        <f t="shared" si="1"/>
        <v>0.0009823673637767033</v>
      </c>
      <c r="K18" s="258">
        <v>15</v>
      </c>
      <c r="L18" s="259">
        <f t="shared" si="2"/>
        <v>358.9077158787639</v>
      </c>
      <c r="N18" s="199">
        <f>data!F18</f>
        <v>27.818576303501303</v>
      </c>
      <c r="P18" s="235">
        <f t="shared" si="3"/>
        <v>15</v>
      </c>
      <c r="Q18" s="235">
        <f>'[1]Input-output'!C14</f>
        <v>368.24</v>
      </c>
      <c r="R18" s="260">
        <f t="shared" si="4"/>
        <v>-9.332284121236114</v>
      </c>
      <c r="S18" s="199">
        <f t="shared" si="5"/>
        <v>87.09152691947571</v>
      </c>
    </row>
    <row r="19" spans="2:19" ht="12.75">
      <c r="B19" s="251">
        <v>9</v>
      </c>
      <c r="C19" s="251">
        <f>'Input-output'!H25</f>
        <v>245.6175902799286</v>
      </c>
      <c r="H19" s="255">
        <f t="shared" si="0"/>
        <v>245.55311173167922</v>
      </c>
      <c r="I19" s="199">
        <f t="shared" si="1"/>
        <v>0.004157483184348017</v>
      </c>
      <c r="K19" s="258">
        <v>20</v>
      </c>
      <c r="L19" s="259">
        <f aca="true" t="shared" si="6" ref="L19:L42">NORMINV(N19/100,$G$8,$G$9)</f>
        <v>372.2331562837623</v>
      </c>
      <c r="N19" s="199">
        <f>data!F19</f>
        <v>30.688553704823313</v>
      </c>
      <c r="P19" s="235">
        <f t="shared" si="3"/>
        <v>20</v>
      </c>
      <c r="Q19" s="235">
        <f>'[1]Input-output'!C15</f>
        <v>372.92</v>
      </c>
      <c r="R19" s="260">
        <f t="shared" si="4"/>
        <v>-0.6868437162377177</v>
      </c>
      <c r="S19" s="199">
        <f t="shared" si="5"/>
        <v>0.47175429053523843</v>
      </c>
    </row>
    <row r="20" spans="2:19" ht="12.75">
      <c r="B20" s="251">
        <v>10</v>
      </c>
      <c r="C20" s="251">
        <f>'Input-output'!H26</f>
        <v>254.56615604466873</v>
      </c>
      <c r="H20" s="255">
        <f t="shared" si="0"/>
        <v>254.4711759118942</v>
      </c>
      <c r="I20" s="199">
        <f t="shared" si="1"/>
        <v>0.009021225621868802</v>
      </c>
      <c r="K20" s="258">
        <v>25</v>
      </c>
      <c r="L20" s="259">
        <f t="shared" si="6"/>
        <v>377.399750504398</v>
      </c>
      <c r="N20" s="199">
        <f>data!F20</f>
        <v>33.45349059469769</v>
      </c>
      <c r="P20" s="235">
        <f t="shared" si="3"/>
        <v>25</v>
      </c>
      <c r="Q20" s="235">
        <f>'[1]Input-output'!C16</f>
        <v>377.78</v>
      </c>
      <c r="R20" s="260">
        <f t="shared" si="4"/>
        <v>-0.38024949560195864</v>
      </c>
      <c r="S20" s="199">
        <f t="shared" si="5"/>
        <v>0.14458967890554397</v>
      </c>
    </row>
    <row r="21" spans="2:19" ht="12.75">
      <c r="B21" s="251">
        <v>11</v>
      </c>
      <c r="C21" s="251">
        <f>'Input-output'!H27</f>
        <v>262.88291842303556</v>
      </c>
      <c r="H21" s="255">
        <f t="shared" si="0"/>
        <v>262.75959023568686</v>
      </c>
      <c r="I21" s="199">
        <f t="shared" si="1"/>
        <v>0.01520984179471714</v>
      </c>
      <c r="K21" s="258">
        <v>30</v>
      </c>
      <c r="L21" s="259">
        <f t="shared" si="6"/>
        <v>382.30493720561077</v>
      </c>
      <c r="N21" s="199">
        <f>data!F21</f>
        <v>36.16462707620973</v>
      </c>
      <c r="P21" s="235">
        <f t="shared" si="3"/>
        <v>30</v>
      </c>
      <c r="Q21" s="235">
        <f>'[1]Input-output'!C17</f>
        <v>382.28</v>
      </c>
      <c r="R21" s="260">
        <f t="shared" si="4"/>
        <v>0.024937205610797264</v>
      </c>
      <c r="S21" s="199">
        <f t="shared" si="5"/>
        <v>0.0006218642236751785</v>
      </c>
    </row>
    <row r="22" spans="2:19" ht="12.75">
      <c r="B22" s="251">
        <v>12</v>
      </c>
      <c r="C22" s="251">
        <f>'Input-output'!H28</f>
        <v>270.6733639389239</v>
      </c>
      <c r="H22" s="255">
        <f t="shared" si="0"/>
        <v>270.52348167144237</v>
      </c>
      <c r="I22" s="199">
        <f t="shared" si="1"/>
        <v>0.02246469410540494</v>
      </c>
      <c r="K22" s="258">
        <v>35</v>
      </c>
      <c r="L22" s="259">
        <f t="shared" si="6"/>
        <v>387.08131025184275</v>
      </c>
      <c r="N22" s="199">
        <f>data!F22</f>
        <v>38.87320325244474</v>
      </c>
      <c r="P22" s="235">
        <f t="shared" si="3"/>
        <v>35</v>
      </c>
      <c r="Q22" s="235">
        <f>'[1]Input-output'!C18</f>
        <v>386.24</v>
      </c>
      <c r="R22" s="260">
        <f t="shared" si="4"/>
        <v>0.8413102518427422</v>
      </c>
      <c r="S22" s="199">
        <f t="shared" si="5"/>
        <v>0.7078029398556983</v>
      </c>
    </row>
    <row r="23" spans="2:19" ht="12.75">
      <c r="B23" s="251">
        <v>13</v>
      </c>
      <c r="C23" s="251">
        <f>'Input-output'!H29</f>
        <v>278.01857594610976</v>
      </c>
      <c r="H23" s="255">
        <f t="shared" si="0"/>
        <v>277.8436571967178</v>
      </c>
      <c r="I23" s="199">
        <f t="shared" si="1"/>
        <v>0.03059656888884853</v>
      </c>
      <c r="K23" s="258">
        <v>40</v>
      </c>
      <c r="L23" s="259">
        <f t="shared" si="6"/>
        <v>391.84648458764775</v>
      </c>
      <c r="N23" s="199">
        <f>data!F23</f>
        <v>41.630459226488</v>
      </c>
      <c r="P23" s="235">
        <f t="shared" si="3"/>
        <v>40</v>
      </c>
      <c r="Q23" s="235">
        <f>'[1]Input-output'!C19</f>
        <v>392</v>
      </c>
      <c r="R23" s="260">
        <f t="shared" si="4"/>
        <v>-0.15351541235224886</v>
      </c>
      <c r="S23" s="199">
        <f t="shared" si="5"/>
        <v>0.023566981829681</v>
      </c>
    </row>
    <row r="24" spans="2:19" ht="12.75">
      <c r="B24" s="251">
        <v>14</v>
      </c>
      <c r="C24" s="251">
        <f>'Input-output'!H30</f>
        <v>284.9823068634938</v>
      </c>
      <c r="H24" s="255">
        <f t="shared" si="0"/>
        <v>284.783651927458</v>
      </c>
      <c r="I24" s="199">
        <f t="shared" si="1"/>
        <v>0.03946378361140238</v>
      </c>
      <c r="K24" s="258">
        <v>45</v>
      </c>
      <c r="L24" s="259">
        <f t="shared" si="6"/>
        <v>396.7099714557813</v>
      </c>
      <c r="N24" s="199">
        <f>data!F24</f>
        <v>44.487635101424814</v>
      </c>
      <c r="P24" s="235">
        <f t="shared" si="3"/>
        <v>45</v>
      </c>
      <c r="Q24" s="235">
        <f>'[1]Input-output'!C20</f>
        <v>396.14</v>
      </c>
      <c r="R24" s="260">
        <f t="shared" si="4"/>
        <v>0.5699714557812854</v>
      </c>
      <c r="S24" s="199">
        <f t="shared" si="5"/>
        <v>0.32486746040543774</v>
      </c>
    </row>
    <row r="25" spans="2:19" ht="12.75">
      <c r="B25" s="251">
        <v>15</v>
      </c>
      <c r="C25" s="251">
        <f>'Input-output'!H31</f>
        <v>291.6156501937749</v>
      </c>
      <c r="H25" s="255">
        <f t="shared" si="0"/>
        <v>291.3943852118846</v>
      </c>
      <c r="I25" s="199">
        <f t="shared" si="1"/>
        <v>0.0489581922109275</v>
      </c>
      <c r="K25" s="258">
        <v>50</v>
      </c>
      <c r="L25" s="259">
        <f t="shared" si="6"/>
        <v>401.77871491798777</v>
      </c>
      <c r="N25" s="199">
        <f>data!F25</f>
        <v>47.49597098034049</v>
      </c>
      <c r="P25" s="235">
        <f t="shared" si="3"/>
        <v>50</v>
      </c>
      <c r="Q25" s="235">
        <f>'[1]Input-output'!C21</f>
        <v>401.9</v>
      </c>
      <c r="R25" s="260">
        <f t="shared" si="4"/>
        <v>-0.12128508201220711</v>
      </c>
      <c r="S25" s="199">
        <f t="shared" si="5"/>
        <v>0.014710071118707806</v>
      </c>
    </row>
    <row r="26" spans="2:19" ht="12.75">
      <c r="B26" s="251">
        <v>16</v>
      </c>
      <c r="C26" s="251">
        <f>'Input-output'!H32</f>
        <v>297.9602306808361</v>
      </c>
      <c r="H26" s="255">
        <f t="shared" si="0"/>
        <v>297.7173399140893</v>
      </c>
      <c r="I26" s="199">
        <f t="shared" si="1"/>
        <v>0.05899592457086064</v>
      </c>
      <c r="K26" s="258">
        <v>55</v>
      </c>
      <c r="L26" s="259">
        <f t="shared" si="6"/>
        <v>407.1626365882029</v>
      </c>
      <c r="N26" s="199">
        <f>data!F26</f>
        <v>50.70670696632031</v>
      </c>
      <c r="P26" s="235">
        <f t="shared" si="3"/>
        <v>55</v>
      </c>
      <c r="Q26" s="235">
        <f>'[1]Input-output'!C22</f>
        <v>408.2</v>
      </c>
      <c r="R26" s="260">
        <f t="shared" si="4"/>
        <v>-1.0373634117971164</v>
      </c>
      <c r="S26" s="199">
        <f t="shared" si="5"/>
        <v>1.0761228481353537</v>
      </c>
    </row>
    <row r="27" spans="2:19" ht="12.75">
      <c r="B27" s="251">
        <v>17</v>
      </c>
      <c r="C27" s="251">
        <f>'Input-output'!H33</f>
        <v>304.05044476978344</v>
      </c>
      <c r="H27" s="255">
        <f t="shared" si="0"/>
        <v>303.7867952373646</v>
      </c>
      <c r="I27" s="199">
        <f t="shared" si="1"/>
        <v>0.06951107594468733</v>
      </c>
      <c r="K27" s="258">
        <v>60</v>
      </c>
      <c r="L27" s="259">
        <f t="shared" si="6"/>
        <v>412.98156998002037</v>
      </c>
      <c r="N27" s="199">
        <f>data!F27</f>
        <v>54.17108316244959</v>
      </c>
      <c r="P27" s="235">
        <f t="shared" si="3"/>
        <v>60</v>
      </c>
      <c r="Q27" s="235">
        <f>'[1]Input-output'!C23</f>
        <v>413.24</v>
      </c>
      <c r="R27" s="260">
        <f t="shared" si="4"/>
        <v>-0.25843001997964166</v>
      </c>
      <c r="S27" s="199">
        <f t="shared" si="5"/>
        <v>0.06678607522667798</v>
      </c>
    </row>
    <row r="28" spans="2:19" ht="12.75">
      <c r="B28" s="251">
        <v>18</v>
      </c>
      <c r="C28" s="251">
        <f>'Input-output'!H34</f>
        <v>309.9150727000603</v>
      </c>
      <c r="H28" s="255">
        <f t="shared" si="0"/>
        <v>309.6314333224276</v>
      </c>
      <c r="I28" s="199">
        <f t="shared" si="1"/>
        <v>0.08045129654387105</v>
      </c>
      <c r="K28" s="258">
        <v>65</v>
      </c>
      <c r="L28" s="259">
        <f t="shared" si="6"/>
        <v>419.3750875100058</v>
      </c>
      <c r="N28" s="199">
        <f>data!F28</f>
        <v>57.940339671813604</v>
      </c>
      <c r="P28" s="235">
        <f t="shared" si="3"/>
        <v>65</v>
      </c>
      <c r="Q28" s="235">
        <f>'[1]Input-output'!C24</f>
        <v>420.8</v>
      </c>
      <c r="R28" s="260">
        <f t="shared" si="4"/>
        <v>-1.424912489994199</v>
      </c>
      <c r="S28" s="199">
        <f t="shared" si="5"/>
        <v>2.0303756041414682</v>
      </c>
    </row>
    <row r="29" spans="2:19" ht="12.75">
      <c r="B29" s="251">
        <v>19</v>
      </c>
      <c r="C29" s="251">
        <f>'Input-output'!H35</f>
        <v>315.57846322058265</v>
      </c>
      <c r="H29" s="255">
        <f t="shared" si="0"/>
        <v>315.27551992440004</v>
      </c>
      <c r="I29" s="199">
        <f t="shared" si="1"/>
        <v>0.09177464070198131</v>
      </c>
      <c r="K29" s="258">
        <v>70</v>
      </c>
      <c r="L29" s="259">
        <f t="shared" si="6"/>
        <v>426.5185912272276</v>
      </c>
      <c r="N29" s="199">
        <f>data!F29</f>
        <v>62.06571659749768</v>
      </c>
      <c r="P29" s="235">
        <f t="shared" si="3"/>
        <v>70</v>
      </c>
      <c r="Q29" s="235">
        <f>'[1]Input-output'!C25</f>
        <v>428</v>
      </c>
      <c r="R29" s="260">
        <f t="shared" si="4"/>
        <v>-1.4814087727723972</v>
      </c>
      <c r="S29" s="199">
        <f t="shared" si="5"/>
        <v>2.19457195204702</v>
      </c>
    </row>
    <row r="30" spans="2:19" ht="12.75">
      <c r="B30" s="251">
        <v>20</v>
      </c>
      <c r="C30" s="251">
        <f>'Input-output'!H36</f>
        <v>321.06142054643163</v>
      </c>
      <c r="H30" s="255">
        <f t="shared" si="0"/>
        <v>320.7397883462706</v>
      </c>
      <c r="I30" s="199">
        <f t="shared" si="1"/>
        <v>0.10344727218043637</v>
      </c>
      <c r="K30" s="258">
        <v>75</v>
      </c>
      <c r="L30" s="259">
        <f t="shared" si="6"/>
        <v>434.651976332909</v>
      </c>
      <c r="N30" s="199">
        <f>data!F30</f>
        <v>66.5984540425871</v>
      </c>
      <c r="P30" s="235">
        <f t="shared" si="3"/>
        <v>75</v>
      </c>
      <c r="Q30" s="235">
        <f>'[1]Input-output'!C26</f>
        <v>435.2</v>
      </c>
      <c r="R30" s="260">
        <f t="shared" si="4"/>
        <v>-0.5480236670910017</v>
      </c>
      <c r="S30" s="199">
        <f t="shared" si="5"/>
        <v>0.30032993969186905</v>
      </c>
    </row>
    <row r="31" spans="2:19" ht="12.75">
      <c r="B31" s="251">
        <v>21</v>
      </c>
      <c r="C31" s="251">
        <f>'Input-output'!H37</f>
        <v>326.38187941845587</v>
      </c>
      <c r="H31" s="255">
        <f t="shared" si="0"/>
        <v>326.0421121975256</v>
      </c>
      <c r="I31" s="199">
        <f t="shared" si="1"/>
        <v>0.11544176441865944</v>
      </c>
      <c r="K31" s="258">
        <v>80</v>
      </c>
      <c r="L31" s="259">
        <f t="shared" si="6"/>
        <v>444.1360600241416</v>
      </c>
      <c r="N31" s="199">
        <f>data!F31</f>
        <v>71.58979211016715</v>
      </c>
      <c r="P31" s="235">
        <f t="shared" si="3"/>
        <v>80</v>
      </c>
      <c r="Q31" s="235">
        <f>'[1]Input-output'!C27</f>
        <v>442.76</v>
      </c>
      <c r="R31" s="260">
        <f t="shared" si="4"/>
        <v>1.3760600241416228</v>
      </c>
      <c r="S31" s="199">
        <f t="shared" si="5"/>
        <v>1.8935411900406434</v>
      </c>
    </row>
    <row r="32" spans="2:19" ht="12.75">
      <c r="B32" s="251">
        <v>22</v>
      </c>
      <c r="C32" s="251">
        <f>'Input-output'!H38</f>
        <v>331.55542650274293</v>
      </c>
      <c r="H32" s="255">
        <f t="shared" si="0"/>
        <v>331.1980250164081</v>
      </c>
      <c r="I32" s="199">
        <f t="shared" si="1"/>
        <v>0.1277358224343403</v>
      </c>
      <c r="K32" s="258">
        <v>85</v>
      </c>
      <c r="L32" s="259">
        <f t="shared" si="6"/>
        <v>455.57929946180144</v>
      </c>
      <c r="N32" s="199">
        <f>data!F32</f>
        <v>77.09097090332314</v>
      </c>
      <c r="P32" s="235">
        <f t="shared" si="3"/>
        <v>85</v>
      </c>
      <c r="Q32" s="235">
        <f>'[1]Input-output'!C28</f>
        <v>451.4</v>
      </c>
      <c r="R32" s="260">
        <f t="shared" si="4"/>
        <v>4.179299461801463</v>
      </c>
      <c r="S32" s="199">
        <f t="shared" si="5"/>
        <v>17.466543991414</v>
      </c>
    </row>
    <row r="33" spans="2:19" ht="12.75">
      <c r="B33" s="251">
        <v>23</v>
      </c>
      <c r="C33" s="251">
        <f>'Input-output'!H39</f>
        <v>336.5957084708242</v>
      </c>
      <c r="H33" s="255">
        <f t="shared" si="0"/>
        <v>336.22112695916223</v>
      </c>
      <c r="I33" s="199">
        <f t="shared" si="1"/>
        <v>0.14031130887896837</v>
      </c>
      <c r="K33" s="258">
        <v>90</v>
      </c>
      <c r="L33" s="259">
        <f t="shared" si="6"/>
        <v>470.1813935947091</v>
      </c>
      <c r="N33" s="199">
        <f>data!F33</f>
        <v>83.15323052514036</v>
      </c>
      <c r="P33" s="235">
        <f t="shared" si="3"/>
        <v>90</v>
      </c>
      <c r="Q33" s="235">
        <f>'[1]Input-output'!C29</f>
        <v>461.12</v>
      </c>
      <c r="R33" s="260">
        <f t="shared" si="4"/>
        <v>9.061393594709102</v>
      </c>
      <c r="S33" s="199">
        <f t="shared" si="5"/>
        <v>82.10885387823515</v>
      </c>
    </row>
    <row r="34" spans="2:19" ht="12.75">
      <c r="B34" s="251">
        <v>24</v>
      </c>
      <c r="C34" s="251">
        <f>'Input-output'!H40</f>
        <v>341.51475523721683</v>
      </c>
      <c r="H34" s="255">
        <f t="shared" si="0"/>
        <v>341.1234069358063</v>
      </c>
      <c r="I34" s="199">
        <f t="shared" si="1"/>
        <v>0.1531534930168967</v>
      </c>
      <c r="K34" s="258">
        <v>91</v>
      </c>
      <c r="L34" s="259">
        <f t="shared" si="6"/>
        <v>473.6826446625016</v>
      </c>
      <c r="N34" s="199">
        <f>data!F34</f>
        <v>84.43752127801467</v>
      </c>
      <c r="P34" s="235">
        <f t="shared" si="3"/>
        <v>91</v>
      </c>
      <c r="Q34" s="235">
        <f>'[1]Input-output'!C30</f>
        <v>463.46</v>
      </c>
      <c r="R34" s="260">
        <f t="shared" si="4"/>
        <v>10.222644662501637</v>
      </c>
      <c r="S34" s="199">
        <f t="shared" si="5"/>
        <v>104.5024638957732</v>
      </c>
    </row>
    <row r="35" spans="2:19" ht="12.75">
      <c r="B35" s="251">
        <v>25</v>
      </c>
      <c r="C35" s="251">
        <f>'Input-output'!H41</f>
        <v>346.3232388009002</v>
      </c>
      <c r="H35" s="255">
        <f t="shared" si="0"/>
        <v>345.9155005693365</v>
      </c>
      <c r="I35" s="199">
        <f t="shared" si="1"/>
        <v>0.16625046547870354</v>
      </c>
      <c r="K35" s="258">
        <v>92</v>
      </c>
      <c r="L35" s="259">
        <f t="shared" si="6"/>
        <v>477.4540083942553</v>
      </c>
      <c r="N35" s="199">
        <f>data!F35</f>
        <v>85.74671478898351</v>
      </c>
      <c r="P35" s="235">
        <f t="shared" si="3"/>
        <v>92</v>
      </c>
      <c r="Q35" s="235">
        <f>'[1]Input-output'!C31</f>
        <v>465.8</v>
      </c>
      <c r="R35" s="260">
        <f t="shared" si="4"/>
        <v>11.6540083942553</v>
      </c>
      <c r="S35" s="199">
        <f t="shared" si="5"/>
        <v>135.81591165337298</v>
      </c>
    </row>
    <row r="36" spans="2:19" ht="12.75">
      <c r="B36" s="251">
        <v>26</v>
      </c>
      <c r="C36" s="251">
        <f>'Input-output'!H42</f>
        <v>351.0306825998937</v>
      </c>
      <c r="H36" s="255">
        <f t="shared" si="0"/>
        <v>350.6068988367099</v>
      </c>
      <c r="I36" s="199">
        <f t="shared" si="1"/>
        <v>0.17959267793821626</v>
      </c>
      <c r="K36" s="258">
        <v>93</v>
      </c>
      <c r="L36" s="259">
        <f t="shared" si="6"/>
        <v>481.5479675394042</v>
      </c>
      <c r="N36" s="199">
        <f>data!F36</f>
        <v>87.08122097887158</v>
      </c>
      <c r="P36" s="235">
        <f t="shared" si="3"/>
        <v>93</v>
      </c>
      <c r="Q36" s="235">
        <f>'[1]Input-output'!C32</f>
        <v>468.5</v>
      </c>
      <c r="R36" s="260">
        <f t="shared" si="4"/>
        <v>13.047967539404226</v>
      </c>
      <c r="S36" s="199">
        <f t="shared" si="5"/>
        <v>170.24945690934638</v>
      </c>
    </row>
    <row r="37" spans="2:19" ht="12.75">
      <c r="B37" s="251">
        <v>27</v>
      </c>
      <c r="C37" s="251">
        <f>'Input-output'!H43</f>
        <v>355.64563240421796</v>
      </c>
      <c r="H37" s="255">
        <f t="shared" si="0"/>
        <v>355.2061183793099</v>
      </c>
      <c r="I37" s="199">
        <f t="shared" si="1"/>
        <v>0.1931725780908988</v>
      </c>
      <c r="K37" s="258">
        <v>94</v>
      </c>
      <c r="L37" s="259">
        <f t="shared" si="6"/>
        <v>486.0349983281244</v>
      </c>
      <c r="N37" s="199">
        <f>data!F37</f>
        <v>88.44144976850356</v>
      </c>
      <c r="P37" s="235">
        <f t="shared" si="3"/>
        <v>94</v>
      </c>
      <c r="Q37" s="235">
        <f>'[1]Input-output'!C33</f>
        <v>471.2</v>
      </c>
      <c r="R37" s="260">
        <f t="shared" si="4"/>
        <v>14.834998328124414</v>
      </c>
      <c r="S37" s="199">
        <f t="shared" si="5"/>
        <v>220.07717539545413</v>
      </c>
    </row>
    <row r="38" spans="2:19" ht="12.75">
      <c r="B38" s="251">
        <v>28</v>
      </c>
      <c r="C38" s="251">
        <f>'Input-output'!H44</f>
        <v>360.17579700595377</v>
      </c>
      <c r="H38" s="255">
        <f t="shared" si="0"/>
        <v>359.72084171345654</v>
      </c>
      <c r="I38" s="199">
        <f t="shared" si="1"/>
        <v>0.20698431817124172</v>
      </c>
      <c r="K38" s="258">
        <v>95</v>
      </c>
      <c r="L38" s="259">
        <f t="shared" si="6"/>
        <v>491.0130839871649</v>
      </c>
      <c r="N38" s="199">
        <f>data!F38</f>
        <v>89.82781107870414</v>
      </c>
      <c r="P38" s="235">
        <f t="shared" si="3"/>
        <v>95</v>
      </c>
      <c r="Q38" s="235">
        <f>'[1]Input-output'!C34</f>
        <v>474.26</v>
      </c>
      <c r="R38" s="260">
        <f t="shared" si="4"/>
        <v>16.753083987164928</v>
      </c>
      <c r="S38" s="199">
        <f t="shared" si="5"/>
        <v>280.6658230810019</v>
      </c>
    </row>
    <row r="39" spans="2:19" ht="12.75">
      <c r="B39" s="251">
        <v>29</v>
      </c>
      <c r="C39" s="251">
        <f>'Input-output'!H45</f>
        <v>364.6281649663787</v>
      </c>
      <c r="H39" s="255">
        <f t="shared" si="0"/>
        <v>364.15803357960533</v>
      </c>
      <c r="I39" s="199">
        <f t="shared" si="1"/>
        <v>0.22102352082942953</v>
      </c>
      <c r="K39" s="258">
        <v>96</v>
      </c>
      <c r="L39" s="259">
        <f t="shared" si="6"/>
        <v>496.6245883774794</v>
      </c>
      <c r="N39" s="199">
        <f>data!F39</f>
        <v>91.24071483029797</v>
      </c>
      <c r="P39" s="235">
        <f t="shared" si="3"/>
        <v>96</v>
      </c>
      <c r="Q39" s="235">
        <f>'[1]Input-output'!C35</f>
        <v>478.22</v>
      </c>
      <c r="R39" s="260">
        <f t="shared" si="4"/>
        <v>18.4045883774794</v>
      </c>
      <c r="S39" s="199">
        <f t="shared" si="5"/>
        <v>338.72887334444977</v>
      </c>
    </row>
    <row r="40" spans="2:19" ht="12.75">
      <c r="B40" s="251">
        <v>30</v>
      </c>
      <c r="C40" s="251">
        <f>'Input-output'!H46</f>
        <v>369.0091022172392</v>
      </c>
      <c r="G40" s="255">
        <f>NORMINV(B40/100,$F$8,$F$9)</f>
        <v>368.52403821094117</v>
      </c>
      <c r="H40" s="255">
        <f t="shared" si="0"/>
        <v>368.52403821094117</v>
      </c>
      <c r="I40" s="199">
        <f t="shared" si="1"/>
        <v>0.23528709020591082</v>
      </c>
      <c r="K40" s="258">
        <v>97</v>
      </c>
      <c r="L40" s="259">
        <f t="shared" si="6"/>
        <v>503.08868236271394</v>
      </c>
      <c r="N40" s="199">
        <f>data!F40</f>
        <v>92.68057094410977</v>
      </c>
      <c r="P40" s="235">
        <f t="shared" si="3"/>
        <v>97</v>
      </c>
      <c r="Q40" s="235">
        <f>'[1]Input-output'!C36</f>
        <v>482.36</v>
      </c>
      <c r="R40" s="260">
        <f t="shared" si="4"/>
        <v>20.728682362713926</v>
      </c>
      <c r="S40" s="199">
        <f t="shared" si="5"/>
        <v>429.6782724942874</v>
      </c>
    </row>
    <row r="41" spans="2:19" ht="12.75">
      <c r="B41" s="251">
        <v>31</v>
      </c>
      <c r="C41" s="251">
        <f>'Input-output'!H47</f>
        <v>372.58019877960896</v>
      </c>
      <c r="F41" s="199">
        <f>G41-H41</f>
        <v>-5.3761992944600934E-05</v>
      </c>
      <c r="G41" s="255">
        <f>NORMINV(B41/100,$F$8,$F$9)</f>
        <v>372.82466122215044</v>
      </c>
      <c r="H41" s="255">
        <f aca="true" t="shared" si="7" ref="H41:H72">NORMINV(B41/100,$G$8,$G$9)</f>
        <v>372.8247149841434</v>
      </c>
      <c r="I41" s="199">
        <f t="shared" si="1"/>
        <v>0.059788174279918546</v>
      </c>
      <c r="K41" s="258">
        <v>98</v>
      </c>
      <c r="L41" s="259">
        <f t="shared" si="6"/>
        <v>510.77075211037317</v>
      </c>
      <c r="N41" s="199">
        <f>data!F41</f>
        <v>94.14778934096421</v>
      </c>
      <c r="P41" s="235">
        <f t="shared" si="3"/>
        <v>98</v>
      </c>
      <c r="Q41" s="235">
        <f>'[1]Input-output'!C37</f>
        <v>489.02</v>
      </c>
      <c r="R41" s="260">
        <f t="shared" si="4"/>
        <v>21.750752110373185</v>
      </c>
      <c r="S41" s="199">
        <f t="shared" si="5"/>
        <v>473.09521736690357</v>
      </c>
    </row>
    <row r="42" spans="2:19" ht="13.5" thickBot="1">
      <c r="B42" s="251">
        <v>32</v>
      </c>
      <c r="C42" s="251">
        <f>'Input-output'!H48</f>
        <v>374.467248620989</v>
      </c>
      <c r="H42" s="255">
        <f t="shared" si="7"/>
        <v>374.70697504061997</v>
      </c>
      <c r="I42" s="199">
        <f t="shared" si="1"/>
        <v>0.05746875626909034</v>
      </c>
      <c r="K42" s="253">
        <v>99</v>
      </c>
      <c r="L42" s="261">
        <f t="shared" si="6"/>
        <v>520.3557401823547</v>
      </c>
      <c r="N42" s="199">
        <f>data!F42</f>
        <v>95.64277994168597</v>
      </c>
      <c r="P42" s="235">
        <f t="shared" si="3"/>
        <v>99</v>
      </c>
      <c r="Q42" s="235">
        <f>'[1]Input-output'!C38</f>
        <v>490</v>
      </c>
      <c r="R42" s="260">
        <f t="shared" si="4"/>
        <v>30.35574018235468</v>
      </c>
      <c r="S42" s="199">
        <f t="shared" si="5"/>
        <v>921.4709620186226</v>
      </c>
    </row>
    <row r="43" spans="2:9" ht="12.75">
      <c r="B43" s="251">
        <v>33</v>
      </c>
      <c r="C43" s="251">
        <f>'Input-output'!H49</f>
        <v>376.32977066839896</v>
      </c>
      <c r="H43" s="255">
        <f t="shared" si="7"/>
        <v>376.5647695605479</v>
      </c>
      <c r="I43" s="199">
        <f aca="true" t="shared" si="8" ref="I43:I74">(C43-H43)^2</f>
        <v>0.0552244793112344</v>
      </c>
    </row>
    <row r="44" spans="2:9" ht="12.75">
      <c r="B44" s="251">
        <v>34</v>
      </c>
      <c r="C44" s="251">
        <f>'Input-output'!H50</f>
        <v>378.1697972936119</v>
      </c>
      <c r="H44" s="255">
        <f t="shared" si="7"/>
        <v>378.40012575705344</v>
      </c>
      <c r="I44" s="199">
        <f t="shared" si="8"/>
        <v>0.05305120107133976</v>
      </c>
    </row>
    <row r="45" spans="2:9" ht="12.75">
      <c r="B45" s="251">
        <v>35</v>
      </c>
      <c r="C45" s="251">
        <f>'Input-output'!H51</f>
        <v>379.9892205278461</v>
      </c>
      <c r="H45" s="255">
        <f t="shared" si="7"/>
        <v>380.2149308589261</v>
      </c>
      <c r="I45" s="199">
        <f t="shared" si="8"/>
        <v>0.05094515355624088</v>
      </c>
    </row>
    <row r="46" spans="2:9" ht="12.75">
      <c r="B46" s="251">
        <v>36</v>
      </c>
      <c r="C46" s="251">
        <f>'Input-output'!H52</f>
        <v>381.78980900854214</v>
      </c>
      <c r="H46" s="255">
        <f t="shared" si="7"/>
        <v>382.0109490143805</v>
      </c>
      <c r="I46" s="199">
        <f t="shared" si="8"/>
        <v>0.0489029021821982</v>
      </c>
    </row>
    <row r="47" spans="2:9" ht="12.75">
      <c r="B47" s="251">
        <v>37</v>
      </c>
      <c r="C47" s="251">
        <f>'Input-output'!H53</f>
        <v>383.5732227820787</v>
      </c>
      <c r="H47" s="255">
        <f t="shared" si="7"/>
        <v>383.7898360561997</v>
      </c>
      <c r="I47" s="199">
        <f t="shared" si="8"/>
        <v>0.046921310525426536</v>
      </c>
    </row>
    <row r="48" spans="2:9" ht="12.75">
      <c r="B48" s="251">
        <v>38</v>
      </c>
      <c r="C48" s="251">
        <f>'Input-output'!H54</f>
        <v>385.3410263096777</v>
      </c>
      <c r="H48" s="255">
        <f t="shared" si="7"/>
        <v>385.55315247462806</v>
      </c>
      <c r="I48" s="199">
        <f t="shared" si="8"/>
        <v>0.044997509856542287</v>
      </c>
    </row>
    <row r="49" spans="2:9" ht="12.75">
      <c r="B49" s="251">
        <v>39</v>
      </c>
      <c r="C49" s="251">
        <f>'Input-output'!H55</f>
        <v>387.09469996276545</v>
      </c>
      <c r="H49" s="255">
        <f t="shared" si="7"/>
        <v>387.3023748835542</v>
      </c>
      <c r="I49" s="199">
        <f t="shared" si="8"/>
        <v>0.0431288727246125</v>
      </c>
    </row>
    <row r="50" spans="2:9" ht="12.75">
      <c r="B50" s="251">
        <v>40</v>
      </c>
      <c r="C50" s="251">
        <f>'Input-output'!H56</f>
        <v>388.8356502454057</v>
      </c>
      <c r="H50" s="255">
        <f t="shared" si="7"/>
        <v>389.03890621699725</v>
      </c>
      <c r="I50" s="199">
        <f t="shared" si="8"/>
        <v>0.04131298998762311</v>
      </c>
    </row>
    <row r="51" spans="2:9" ht="12.75">
      <c r="B51" s="251">
        <v>41</v>
      </c>
      <c r="C51" s="251">
        <f>'Input-output'!H57</f>
        <v>390.56521894240365</v>
      </c>
      <c r="H51" s="255">
        <f t="shared" si="7"/>
        <v>390.7640848539911</v>
      </c>
      <c r="I51" s="199">
        <f t="shared" si="8"/>
        <v>0.03954765079151191</v>
      </c>
    </row>
    <row r="52" spans="2:9" ht="12.75">
      <c r="B52" s="251">
        <v>42</v>
      </c>
      <c r="C52" s="251">
        <f>'Input-output'!H58</f>
        <v>392.2846913602588</v>
      </c>
      <c r="H52" s="255">
        <f t="shared" si="7"/>
        <v>392.4791928386191</v>
      </c>
      <c r="I52" s="199">
        <f t="shared" si="8"/>
        <v>0.0378308250843345</v>
      </c>
    </row>
    <row r="53" spans="2:9" ht="12.75">
      <c r="B53" s="251">
        <v>43</v>
      </c>
      <c r="C53" s="251">
        <f>'Input-output'!H59</f>
        <v>393.9953038027539</v>
      </c>
      <c r="H53" s="255">
        <f t="shared" si="7"/>
        <v>394.1854633366286</v>
      </c>
      <c r="I53" s="199">
        <f t="shared" si="8"/>
        <v>0.03616064832343996</v>
      </c>
    </row>
    <row r="54" spans="2:9" ht="12.75">
      <c r="B54" s="251">
        <v>44</v>
      </c>
      <c r="C54" s="251">
        <f>'Input-output'!H60</f>
        <v>395.69825040240016</v>
      </c>
      <c r="H54" s="255">
        <f t="shared" si="7"/>
        <v>395.8840874495363</v>
      </c>
      <c r="I54" s="199">
        <f t="shared" si="8"/>
        <v>0.03453540808828245</v>
      </c>
    </row>
    <row r="55" spans="2:9" ht="12.75">
      <c r="B55" s="251">
        <v>45</v>
      </c>
      <c r="C55" s="251">
        <f>'Input-output'!H61</f>
        <v>397.39468941229046</v>
      </c>
      <c r="H55" s="255">
        <f t="shared" si="7"/>
        <v>397.576220490511</v>
      </c>
      <c r="I55" s="199">
        <f t="shared" si="8"/>
        <v>0.03295353235990824</v>
      </c>
    </row>
    <row r="56" spans="2:9" ht="12.75">
      <c r="B56" s="251">
        <v>46</v>
      </c>
      <c r="C56" s="251">
        <f>'Input-output'!H62</f>
        <v>399.0857490494067</v>
      </c>
      <c r="H56" s="255">
        <f t="shared" si="7"/>
        <v>399.2629878128493</v>
      </c>
      <c r="I56" s="199">
        <f t="shared" si="8"/>
        <v>0.031413579266672875</v>
      </c>
    </row>
    <row r="57" spans="2:9" ht="12.75">
      <c r="B57" s="251">
        <v>47</v>
      </c>
      <c r="C57" s="251">
        <f>'Input-output'!H63</f>
        <v>400.77253296953796</v>
      </c>
      <c r="H57" s="255">
        <f t="shared" si="7"/>
        <v>400.9454902709975</v>
      </c>
      <c r="I57" s="199">
        <f t="shared" si="8"/>
        <v>0.029914228128158908</v>
      </c>
    </row>
    <row r="58" spans="2:9" ht="12.75">
      <c r="B58" s="251">
        <v>48</v>
      </c>
      <c r="C58" s="251">
        <f>'Input-output'!H64</f>
        <v>402.45612544523675</v>
      </c>
      <c r="H58" s="255">
        <f t="shared" si="7"/>
        <v>402.6248093853643</v>
      </c>
      <c r="I58" s="199">
        <f t="shared" si="8"/>
        <v>0.02845427165695508</v>
      </c>
    </row>
    <row r="59" spans="2:9" ht="12.75">
      <c r="B59" s="251">
        <v>49</v>
      </c>
      <c r="C59" s="251">
        <f>'Input-output'!H65</f>
        <v>404.137596311342</v>
      </c>
      <c r="H59" s="255">
        <f t="shared" si="7"/>
        <v>404.30201227529136</v>
      </c>
      <c r="I59" s="199">
        <f t="shared" si="8"/>
        <v>0.02703260920139472</v>
      </c>
    </row>
    <row r="60" spans="2:9" ht="12.75">
      <c r="B60" s="251">
        <v>50</v>
      </c>
      <c r="C60" s="251">
        <f>'Input-output'!H66</f>
        <v>405.81800581061793</v>
      </c>
      <c r="H60" s="255">
        <f t="shared" si="7"/>
        <v>405.97815649239254</v>
      </c>
      <c r="I60" s="199">
        <f t="shared" si="8"/>
        <v>0.025648240872872364</v>
      </c>
    </row>
    <row r="61" spans="2:9" ht="12.75">
      <c r="B61" s="251">
        <v>51</v>
      </c>
      <c r="C61" s="251">
        <f>'Input-output'!H67</f>
        <v>407.49841523654186</v>
      </c>
      <c r="H61" s="255">
        <f t="shared" si="7"/>
        <v>407.6543006363279</v>
      </c>
      <c r="I61" s="199">
        <f t="shared" si="8"/>
        <v>0.0243002578664503</v>
      </c>
    </row>
    <row r="62" spans="2:9" ht="12.75">
      <c r="B62" s="251">
        <v>52</v>
      </c>
      <c r="C62" s="251">
        <f>'Input-output'!H68</f>
        <v>409.1798861026472</v>
      </c>
      <c r="H62" s="255">
        <f t="shared" si="7"/>
        <v>409.33150352625495</v>
      </c>
      <c r="I62" s="199">
        <f t="shared" si="8"/>
        <v>0.022987843141459345</v>
      </c>
    </row>
    <row r="63" spans="2:9" ht="12.75">
      <c r="B63" s="251">
        <v>53</v>
      </c>
      <c r="C63" s="251">
        <f>'Input-output'!H69</f>
        <v>410.863478578346</v>
      </c>
      <c r="H63" s="255">
        <f t="shared" si="7"/>
        <v>411.0108226406218</v>
      </c>
      <c r="I63" s="199">
        <f t="shared" si="8"/>
        <v>0.021710272687936658</v>
      </c>
    </row>
    <row r="64" spans="2:9" ht="12.75">
      <c r="B64" s="251">
        <v>54</v>
      </c>
      <c r="C64" s="251">
        <f>'Input-output'!H70</f>
        <v>412.5502624984773</v>
      </c>
      <c r="H64" s="255">
        <f t="shared" si="7"/>
        <v>412.69332509877</v>
      </c>
      <c r="I64" s="199">
        <f t="shared" si="8"/>
        <v>0.0204669076025072</v>
      </c>
    </row>
    <row r="65" spans="2:9" ht="12.75">
      <c r="B65" s="251">
        <v>55</v>
      </c>
      <c r="C65" s="251">
        <f>'Input-output'!H71</f>
        <v>414.2413221355935</v>
      </c>
      <c r="H65" s="255">
        <f t="shared" si="7"/>
        <v>414.3800924211083</v>
      </c>
      <c r="I65" s="199">
        <f t="shared" si="8"/>
        <v>0.019257192141857716</v>
      </c>
    </row>
    <row r="66" spans="2:9" ht="12.75">
      <c r="B66" s="251">
        <v>56</v>
      </c>
      <c r="C66" s="251">
        <f>'Input-output'!H72</f>
        <v>415.9377611454838</v>
      </c>
      <c r="H66" s="255">
        <f t="shared" si="7"/>
        <v>416.072225462083</v>
      </c>
      <c r="I66" s="199">
        <f t="shared" si="8"/>
        <v>0.018080652438484068</v>
      </c>
    </row>
    <row r="67" spans="2:9" ht="12.75">
      <c r="B67" s="251">
        <v>57</v>
      </c>
      <c r="C67" s="251">
        <f>'Input-output'!H73</f>
        <v>417.6407077451301</v>
      </c>
      <c r="H67" s="255">
        <f t="shared" si="7"/>
        <v>417.7708495749907</v>
      </c>
      <c r="I67" s="199">
        <f t="shared" si="8"/>
        <v>0.01693689587945931</v>
      </c>
    </row>
    <row r="68" spans="2:9" ht="12.75">
      <c r="B68" s="251">
        <v>58</v>
      </c>
      <c r="C68" s="251">
        <f>'Input-output'!H74</f>
        <v>419.35132018762516</v>
      </c>
      <c r="H68" s="255">
        <f t="shared" si="7"/>
        <v>419.47712007300015</v>
      </c>
      <c r="I68" s="199">
        <f t="shared" si="8"/>
        <v>0.015825611160360173</v>
      </c>
    </row>
    <row r="69" spans="2:9" ht="12.75">
      <c r="B69" s="251">
        <v>59</v>
      </c>
      <c r="C69" s="251">
        <f>'Input-output'!H75</f>
        <v>421.07079260548034</v>
      </c>
      <c r="H69" s="255">
        <f t="shared" si="7"/>
        <v>421.1922280576282</v>
      </c>
      <c r="I69" s="199">
        <f t="shared" si="8"/>
        <v>0.014746569038356167</v>
      </c>
    </row>
    <row r="70" spans="2:9" ht="12.75">
      <c r="B70" s="251">
        <v>60</v>
      </c>
      <c r="C70" s="251">
        <f>'Input-output'!H76</f>
        <v>422.8003613024783</v>
      </c>
      <c r="H70" s="255">
        <f t="shared" si="7"/>
        <v>422.91740669462206</v>
      </c>
      <c r="I70" s="199">
        <f t="shared" si="8"/>
        <v>0.013699623822091176</v>
      </c>
    </row>
    <row r="71" spans="2:9" ht="12.75">
      <c r="B71" s="251">
        <v>61</v>
      </c>
      <c r="C71" s="251">
        <f>'Input-output'!H77</f>
        <v>424.5413115851185</v>
      </c>
      <c r="H71" s="255">
        <f t="shared" si="7"/>
        <v>424.6539380280651</v>
      </c>
      <c r="I71" s="199">
        <f t="shared" si="8"/>
        <v>0.012684715650811538</v>
      </c>
    </row>
    <row r="72" spans="2:9" ht="12.75">
      <c r="B72" s="251">
        <v>62</v>
      </c>
      <c r="C72" s="251">
        <f>'Input-output'!H78</f>
        <v>426.29498523820627</v>
      </c>
      <c r="H72" s="255">
        <f t="shared" si="7"/>
        <v>426.40316043699124</v>
      </c>
      <c r="I72" s="199">
        <f t="shared" si="8"/>
        <v>0.011701873632169301</v>
      </c>
    </row>
    <row r="73" spans="2:9" ht="12.75">
      <c r="B73" s="251">
        <v>63</v>
      </c>
      <c r="C73" s="251">
        <f>'Input-output'!H79</f>
        <v>428.0627887658053</v>
      </c>
      <c r="H73" s="255">
        <f aca="true" t="shared" si="9" ref="H73:H109">NORMINV(B73/100,$G$8,$G$9)</f>
        <v>428.1664768554196</v>
      </c>
      <c r="I73" s="199">
        <f t="shared" si="8"/>
        <v>0.010751219927864946</v>
      </c>
    </row>
    <row r="74" spans="2:9" ht="12.75">
      <c r="B74" s="251">
        <v>64</v>
      </c>
      <c r="C74" s="251">
        <f>'Input-output'!H80</f>
        <v>429.84620253934185</v>
      </c>
      <c r="H74" s="255">
        <f t="shared" si="9"/>
        <v>429.9453638972388</v>
      </c>
      <c r="I74" s="199">
        <f t="shared" si="8"/>
        <v>0.009832974899966285</v>
      </c>
    </row>
    <row r="75" spans="2:9" ht="12.75">
      <c r="B75" s="251">
        <v>65</v>
      </c>
      <c r="C75" s="251">
        <f>'Input-output'!H81</f>
        <v>431.6467910200379</v>
      </c>
      <c r="H75" s="255">
        <f t="shared" si="9"/>
        <v>431.7413820526932</v>
      </c>
      <c r="I75" s="199">
        <f aca="true" t="shared" si="10" ref="I75:I106">(C75-H75)^2</f>
        <v>0.008947463458801765</v>
      </c>
    </row>
    <row r="76" spans="2:9" ht="12.75">
      <c r="B76" s="251">
        <v>66</v>
      </c>
      <c r="C76" s="251">
        <f>'Input-output'!H82</f>
        <v>433.4662142542721</v>
      </c>
      <c r="H76" s="255">
        <f t="shared" si="9"/>
        <v>433.55618715456586</v>
      </c>
      <c r="I76" s="199">
        <f t="shared" si="10"/>
        <v>0.00809512278727582</v>
      </c>
    </row>
    <row r="77" spans="2:9" ht="12.75">
      <c r="B77" s="251">
        <v>67</v>
      </c>
      <c r="C77" s="251">
        <f>'Input-output'!H83</f>
        <v>435.306240879485</v>
      </c>
      <c r="H77" s="255">
        <f t="shared" si="9"/>
        <v>435.3915433510714</v>
      </c>
      <c r="I77" s="199">
        <f t="shared" si="10"/>
        <v>0.007276511658744133</v>
      </c>
    </row>
    <row r="78" spans="2:9" ht="12.75">
      <c r="B78" s="251">
        <v>68</v>
      </c>
      <c r="C78" s="251">
        <f>'Input-output'!H84</f>
        <v>437.168762926895</v>
      </c>
      <c r="H78" s="255">
        <f t="shared" si="9"/>
        <v>437.24933787099934</v>
      </c>
      <c r="I78" s="199">
        <f t="shared" si="10"/>
        <v>0.006492321617417795</v>
      </c>
    </row>
    <row r="79" spans="2:9" ht="12.75">
      <c r="B79" s="251">
        <v>69</v>
      </c>
      <c r="C79" s="251">
        <f>'Input-output'!H85</f>
        <v>439.055812768275</v>
      </c>
      <c r="H79" s="255">
        <f t="shared" si="9"/>
        <v>439.1315979274759</v>
      </c>
      <c r="I79" s="199">
        <f t="shared" si="10"/>
        <v>0.005743390355106466</v>
      </c>
    </row>
    <row r="80" spans="2:9" ht="12.75">
      <c r="B80" s="251">
        <v>70</v>
      </c>
      <c r="C80" s="251">
        <f>'Input-output'!H86</f>
        <v>440.96958263090596</v>
      </c>
      <c r="H80" s="255">
        <f t="shared" si="9"/>
        <v>441.0405101833835</v>
      </c>
      <c r="I80" s="199">
        <f t="shared" si="10"/>
        <v>0.005030717700454492</v>
      </c>
    </row>
    <row r="81" spans="2:9" ht="12.75">
      <c r="B81" s="251">
        <v>71</v>
      </c>
      <c r="C81" s="251">
        <f>'Input-output'!H87</f>
        <v>442.9124472023367</v>
      </c>
      <c r="H81" s="255">
        <f t="shared" si="9"/>
        <v>442.9784432987447</v>
      </c>
      <c r="I81" s="199">
        <f t="shared" si="10"/>
        <v>0.004355484741095902</v>
      </c>
    </row>
    <row r="82" spans="2:9" ht="12.75">
      <c r="B82" s="251">
        <v>72</v>
      </c>
      <c r="C82" s="251">
        <f>'Input-output'!H88</f>
        <v>444.88698997114335</v>
      </c>
      <c r="H82" s="255">
        <f t="shared" si="9"/>
        <v>444.94797420462237</v>
      </c>
      <c r="I82" s="199">
        <f t="shared" si="10"/>
        <v>0.0037190767330234666</v>
      </c>
    </row>
    <row r="83" spans="2:9" ht="12.75">
      <c r="B83" s="251">
        <v>73</v>
      </c>
      <c r="C83" s="251">
        <f>'Input-output'!H89</f>
        <v>446.89603411021045</v>
      </c>
      <c r="H83" s="255">
        <f t="shared" si="9"/>
        <v>446.9519189080112</v>
      </c>
      <c r="I83" s="199">
        <f t="shared" si="10"/>
        <v>0.0031231106252283987</v>
      </c>
    </row>
    <row r="84" spans="2:9" ht="12.75">
      <c r="B84" s="251">
        <v>74</v>
      </c>
      <c r="C84" s="251">
        <f>'Input-output'!H90</f>
        <v>448.9426789170931</v>
      </c>
      <c r="H84" s="255">
        <f t="shared" si="9"/>
        <v>448.9933688397062</v>
      </c>
      <c r="I84" s="199">
        <f t="shared" si="10"/>
        <v>0.0025694682545237676</v>
      </c>
    </row>
    <row r="85" spans="2:9" ht="12.75">
      <c r="B85" s="251">
        <v>75</v>
      </c>
      <c r="C85" s="251">
        <f>'Input-output'!H91</f>
        <v>451.03034309837506</v>
      </c>
      <c r="H85" s="255">
        <f t="shared" si="9"/>
        <v>451.0757340287943</v>
      </c>
      <c r="I85" s="199">
        <f t="shared" si="10"/>
        <v>0.002060336564322163</v>
      </c>
    </row>
    <row r="86" spans="2:9" ht="12.75">
      <c r="B86" s="251">
        <v>76</v>
      </c>
      <c r="C86" s="251">
        <f>'Input-output'!H92</f>
        <v>453.1628165448623</v>
      </c>
      <c r="H86" s="255">
        <f t="shared" si="9"/>
        <v>453.2027947464298</v>
      </c>
      <c r="I86" s="199">
        <f t="shared" si="10"/>
        <v>0.0015982566005688264</v>
      </c>
    </row>
    <row r="87" spans="2:9" ht="12.75">
      <c r="B87" s="251">
        <v>77</v>
      </c>
      <c r="C87" s="251">
        <f>'Input-output'!H93</f>
        <v>455.34432272501994</v>
      </c>
      <c r="H87" s="255">
        <f t="shared" si="9"/>
        <v>455.3787637409024</v>
      </c>
      <c r="I87" s="199">
        <f t="shared" si="10"/>
        <v>0.001186183575016165</v>
      </c>
    </row>
    <row r="88" spans="2:9" ht="12.75">
      <c r="B88" s="251">
        <v>78</v>
      </c>
      <c r="C88" s="251">
        <f>'Input-output'!H94</f>
        <v>457.57959447283656</v>
      </c>
      <c r="H88" s="255">
        <f t="shared" si="9"/>
        <v>457.6083618331334</v>
      </c>
      <c r="I88" s="199">
        <f t="shared" si="10"/>
        <v>0.0008275610184490058</v>
      </c>
    </row>
    <row r="89" spans="2:9" ht="12.75">
      <c r="B89" s="251">
        <v>79</v>
      </c>
      <c r="C89" s="251">
        <f>'Input-output'!H95</f>
        <v>459.8739668327044</v>
      </c>
      <c r="H89" s="255">
        <f t="shared" si="9"/>
        <v>459.8969105258933</v>
      </c>
      <c r="I89" s="199">
        <f t="shared" si="10"/>
        <v>0.0005264130571460397</v>
      </c>
    </row>
    <row r="90" spans="2:9" ht="12.75">
      <c r="B90" s="251">
        <v>80</v>
      </c>
      <c r="C90" s="251">
        <f>'Input-output'!H96</f>
        <v>462.23349185082225</v>
      </c>
      <c r="H90" s="255">
        <f t="shared" si="9"/>
        <v>462.25044650383677</v>
      </c>
      <c r="I90" s="199">
        <f t="shared" si="10"/>
        <v>0.00028746025884286</v>
      </c>
    </row>
    <row r="91" spans="2:9" ht="12.75">
      <c r="B91" s="251">
        <v>81</v>
      </c>
      <c r="C91" s="251">
        <f>'Input-output'!H97</f>
        <v>464.66508192506166</v>
      </c>
      <c r="H91" s="255">
        <f t="shared" si="9"/>
        <v>464.67586461951225</v>
      </c>
      <c r="I91" s="199">
        <f t="shared" si="10"/>
        <v>0.00011626649961494222</v>
      </c>
    </row>
    <row r="92" spans="2:9" ht="12.75">
      <c r="B92" s="251">
        <v>82</v>
      </c>
      <c r="C92" s="251">
        <f>'Input-output'!H98</f>
        <v>467.17669078098345</v>
      </c>
      <c r="H92" s="255">
        <f t="shared" si="9"/>
        <v>467.1810984100183</v>
      </c>
      <c r="I92" s="199">
        <f t="shared" si="10"/>
        <v>1.9427193708927437E-05</v>
      </c>
    </row>
    <row r="93" spans="2:9" ht="12.75">
      <c r="B93" s="251">
        <v>83</v>
      </c>
      <c r="C93" s="251">
        <f>'Input-output'!H99</f>
        <v>469.77754470285134</v>
      </c>
      <c r="H93" s="255">
        <f t="shared" si="9"/>
        <v>469.77535074109727</v>
      </c>
      <c r="I93" s="199">
        <f t="shared" si="10"/>
        <v>4.813468178338697E-06</v>
      </c>
    </row>
    <row r="94" spans="2:9" ht="12.75">
      <c r="B94" s="251">
        <v>84</v>
      </c>
      <c r="C94" s="251">
        <f>'Input-output'!H100</f>
        <v>472.4784419100687</v>
      </c>
      <c r="H94" s="255">
        <f t="shared" si="9"/>
        <v>472.46939242368285</v>
      </c>
      <c r="I94" s="199">
        <f t="shared" si="10"/>
        <v>8.189320384739339E-05</v>
      </c>
    </row>
    <row r="95" spans="2:9" ht="12.75">
      <c r="B95" s="251">
        <v>85</v>
      </c>
      <c r="C95" s="251">
        <f>'Input-output'!H101</f>
        <v>475.29214590605267</v>
      </c>
      <c r="H95" s="255">
        <f t="shared" si="9"/>
        <v>475.2759545643605</v>
      </c>
      <c r="I95" s="199">
        <f t="shared" si="10"/>
        <v>0.0002621595457919324</v>
      </c>
    </row>
    <row r="96" spans="2:9" ht="12.75">
      <c r="B96" s="251">
        <v>86</v>
      </c>
      <c r="C96" s="251">
        <f>'Input-output'!H102</f>
        <v>478.2339108774656</v>
      </c>
      <c r="H96" s="255">
        <f t="shared" si="9"/>
        <v>478.2102526310099</v>
      </c>
      <c r="I96" s="199">
        <f t="shared" si="10"/>
        <v>0.0005597126253577814</v>
      </c>
    </row>
    <row r="97" spans="2:9" ht="12.75">
      <c r="B97" s="251">
        <v>87</v>
      </c>
      <c r="C97" s="251">
        <f>'Input-output'!H103</f>
        <v>481.32219662766755</v>
      </c>
      <c r="H97" s="255">
        <f t="shared" si="9"/>
        <v>481.29069957158447</v>
      </c>
      <c r="I97" s="199">
        <f t="shared" si="10"/>
        <v>0.0009920645419008729</v>
      </c>
    </row>
    <row r="98" spans="2:9" ht="12.75">
      <c r="B98" s="251">
        <v>88</v>
      </c>
      <c r="C98" s="251">
        <f>'Input-output'!H104</f>
        <v>484.57966217926963</v>
      </c>
      <c r="H98" s="255">
        <f t="shared" si="9"/>
        <v>484.5398968946636</v>
      </c>
      <c r="I98" s="199">
        <f t="shared" si="10"/>
        <v>0.0015812778597966164</v>
      </c>
    </row>
    <row r="99" spans="2:9" ht="12.75">
      <c r="B99" s="251">
        <v>89</v>
      </c>
      <c r="C99" s="251">
        <f>'Input-output'!H105</f>
        <v>488.034580549878</v>
      </c>
      <c r="H99" s="255">
        <f t="shared" si="9"/>
        <v>487.9860458541566</v>
      </c>
      <c r="I99" s="199">
        <f t="shared" si="10"/>
        <v>0.0023556166887689386</v>
      </c>
    </row>
    <row r="100" spans="2:9" ht="12.75">
      <c r="B100" s="251">
        <v>90</v>
      </c>
      <c r="C100" s="251">
        <f>'Input-output'!H106</f>
        <v>491.72291070588795</v>
      </c>
      <c r="H100" s="255">
        <f t="shared" si="9"/>
        <v>491.6650141439811</v>
      </c>
      <c r="I100" s="199">
        <f t="shared" si="10"/>
        <v>0.0033520118806313875</v>
      </c>
    </row>
    <row r="101" spans="2:9" ht="12.75">
      <c r="B101" s="251">
        <v>91</v>
      </c>
      <c r="C101" s="251">
        <f>'Input-output'!H107</f>
        <v>495.6914339678945</v>
      </c>
      <c r="H101" s="255">
        <f t="shared" si="9"/>
        <v>495.6234643425249</v>
      </c>
      <c r="I101" s="199">
        <f t="shared" si="10"/>
        <v>0.0046198699728817565</v>
      </c>
    </row>
    <row r="102" spans="2:9" ht="12.75">
      <c r="B102" s="251">
        <v>92</v>
      </c>
      <c r="C102" s="251">
        <f>'Input-output'!H108</f>
        <v>500.00269277831</v>
      </c>
      <c r="H102" s="255">
        <f t="shared" si="9"/>
        <v>499.92378014448764</v>
      </c>
      <c r="I102" s="199">
        <f t="shared" si="10"/>
        <v>0.006227203776783386</v>
      </c>
    </row>
    <row r="103" spans="2:9" ht="12.75">
      <c r="B103" s="251">
        <v>93</v>
      </c>
      <c r="C103" s="251">
        <f>'Input-output'!H109</f>
        <v>504.7431495460036</v>
      </c>
      <c r="H103" s="255">
        <f t="shared" si="9"/>
        <v>504.65220449641583</v>
      </c>
      <c r="I103" s="199">
        <f t="shared" si="10"/>
        <v>0.008271002044525164</v>
      </c>
    </row>
    <row r="104" spans="2:9" ht="12.75">
      <c r="B104" s="251">
        <v>94</v>
      </c>
      <c r="C104" s="251">
        <f>'Input-output'!H110</f>
        <v>510.03749309410665</v>
      </c>
      <c r="H104" s="255">
        <f t="shared" si="9"/>
        <v>509.93310973131463</v>
      </c>
      <c r="I104" s="199">
        <f t="shared" si="10"/>
        <v>0.010895886427770625</v>
      </c>
    </row>
    <row r="105" spans="2:9" ht="12.75">
      <c r="B105" s="251">
        <v>95</v>
      </c>
      <c r="C105" s="251">
        <f>'Input-output'!H111</f>
        <v>516.0757152878247</v>
      </c>
      <c r="H105" s="255">
        <f t="shared" si="9"/>
        <v>515.9560054694864</v>
      </c>
      <c r="I105" s="199">
        <f t="shared" si="10"/>
        <v>0.014330440606580406</v>
      </c>
    </row>
    <row r="106" spans="2:9" ht="12.75">
      <c r="B106" s="251">
        <v>96</v>
      </c>
      <c r="C106" s="251">
        <f>'Input-output'!H112</f>
        <v>523.1698450422655</v>
      </c>
      <c r="H106" s="255">
        <f t="shared" si="9"/>
        <v>523.032128621846</v>
      </c>
      <c r="I106" s="199">
        <f t="shared" si="10"/>
        <v>0.0189658124531471</v>
      </c>
    </row>
    <row r="107" spans="2:9" ht="12.75">
      <c r="B107" s="251">
        <v>97</v>
      </c>
      <c r="C107" s="251">
        <f>'Input-output'!H113</f>
        <v>531.8911744427296</v>
      </c>
      <c r="H107" s="255">
        <f t="shared" si="9"/>
        <v>531.7313211974184</v>
      </c>
      <c r="I107" s="199">
        <f>(C107-H107)^2</f>
        <v>0.025553060036517233</v>
      </c>
    </row>
    <row r="108" spans="2:9" ht="12.75">
      <c r="B108" s="251">
        <v>98</v>
      </c>
      <c r="C108" s="251">
        <f>'Input-output'!H114</f>
        <v>543.4846737834599</v>
      </c>
      <c r="H108" s="255">
        <f t="shared" si="9"/>
        <v>543.2953934573674</v>
      </c>
      <c r="I108" s="199">
        <f>(C108-H108)^2</f>
        <v>0.03582704184570491</v>
      </c>
    </row>
    <row r="109" spans="2:9" ht="12.75">
      <c r="B109" s="251">
        <v>99</v>
      </c>
      <c r="C109" s="251">
        <f>'Input-output'!H115</f>
        <v>561.7575441833226</v>
      </c>
      <c r="H109" s="255">
        <f t="shared" si="9"/>
        <v>561.5218829313714</v>
      </c>
      <c r="I109" s="199">
        <f>(C109-H109)^2</f>
        <v>0.05553622567122027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Aviation Accidents of the 1990s</dc:title>
  <dc:subject/>
  <dc:creator>Ivor Thomas</dc:creator>
  <cp:keywords/>
  <dc:description/>
  <cp:lastModifiedBy>Fire Safety</cp:lastModifiedBy>
  <cp:lastPrinted>2002-01-07T23:14:18Z</cp:lastPrinted>
  <dcterms:created xsi:type="dcterms:W3CDTF">1999-03-11T18:21:34Z</dcterms:created>
  <dcterms:modified xsi:type="dcterms:W3CDTF">2004-07-15T19:43:42Z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394551090</vt:i4>
  </property>
  <property fmtid="{D5CDD505-2E9C-101B-9397-08002B2CF9AE}" pid="4" name="_EmailSubje">
    <vt:lpwstr>Website</vt:lpwstr>
  </property>
  <property fmtid="{D5CDD505-2E9C-101B-9397-08002B2CF9AE}" pid="5" name="_AuthorEma">
    <vt:lpwstr>steven.summer@faa.gov</vt:lpwstr>
  </property>
  <property fmtid="{D5CDD505-2E9C-101B-9397-08002B2CF9AE}" pid="6" name="_AuthorEmailDisplayNa">
    <vt:lpwstr>Steven Summer</vt:lpwstr>
  </property>
</Properties>
</file>